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 defaultThemeVersion="124226"/>
  <bookViews>
    <workbookView xWindow="-15" yWindow="2865" windowWidth="15480" windowHeight="1845" activeTab="4"/>
  </bookViews>
  <sheets>
    <sheet name="Memória Quant" sheetId="43" r:id="rId1"/>
    <sheet name="ORÇAMENTO com" sheetId="48" r:id="rId2"/>
    <sheet name="Demol e Arranc" sheetId="44" r:id="rId3"/>
    <sheet name="Composição SEM Desone" sheetId="25" r:id="rId4"/>
    <sheet name="ORÇAMENTO sem " sheetId="42" r:id="rId5"/>
    <sheet name="CRONOGRAMA" sheetId="38" r:id="rId6"/>
  </sheets>
  <definedNames>
    <definedName name="_xlnm._FilterDatabase" localSheetId="4" hidden="1">'ORÇAMENTO sem '!$C$3:$C$233</definedName>
    <definedName name="BDI" localSheetId="1">#REF!</definedName>
    <definedName name="BDI">#REF!</definedName>
    <definedName name="DISJUNTOR_TIPO_DIN_IEC__BIPOLAR_DE_6_ATE_32A" localSheetId="1">'Composição SEM Desone'!#REF!</definedName>
    <definedName name="DISJUNTOR_TIPO_DIN_IEC__BIPOLAR_DE_6_ATE_32A">'Composição SEM Desone'!#REF!</definedName>
    <definedName name="MEM_A" localSheetId="1">#REF!</definedName>
    <definedName name="MEM_A">#REF!</definedName>
    <definedName name="MEN_B" localSheetId="1">#REF!</definedName>
    <definedName name="MEN_B">#REF!</definedName>
    <definedName name="ORÇ_A" localSheetId="1">#REF!</definedName>
    <definedName name="ORÇ_A">#REF!</definedName>
    <definedName name="ORÇ_B" localSheetId="1">#REF!</definedName>
    <definedName name="ORÇ_B">#REF!</definedName>
    <definedName name="ORÇ_D" localSheetId="1">#REF!</definedName>
    <definedName name="ORÇ_D">#REF!</definedName>
    <definedName name="_xlnm.Print_Titles" localSheetId="2">'Demol e Arranc'!$9:$10</definedName>
  </definedNames>
  <calcPr calcId="144525"/>
</workbook>
</file>

<file path=xl/calcChain.xml><?xml version="1.0" encoding="utf-8"?>
<calcChain xmlns="http://schemas.openxmlformats.org/spreadsheetml/2006/main">
  <c r="H548" i="25" l="1"/>
  <c r="G1178" i="25"/>
  <c r="H1178" i="25" s="1"/>
  <c r="H1181" i="25"/>
  <c r="H1180" i="25"/>
  <c r="G1180" i="25"/>
  <c r="H1179" i="25"/>
  <c r="G1179" i="25"/>
  <c r="G858" i="25"/>
  <c r="G857" i="25"/>
  <c r="I232" i="42" l="1"/>
  <c r="G330" i="25" l="1"/>
  <c r="H330" i="25" s="1"/>
  <c r="G329" i="25"/>
  <c r="H329" i="25" s="1"/>
  <c r="G328" i="25"/>
  <c r="H328" i="25" s="1"/>
  <c r="G327" i="25"/>
  <c r="H327" i="25" s="1"/>
  <c r="G326" i="25"/>
  <c r="H326" i="25" s="1"/>
  <c r="G250" i="25"/>
  <c r="H250" i="25" s="1"/>
  <c r="G249" i="25"/>
  <c r="H249" i="25" s="1"/>
  <c r="G248" i="25"/>
  <c r="H248" i="25" s="1"/>
  <c r="G247" i="25"/>
  <c r="H247" i="25" s="1"/>
  <c r="G216" i="25"/>
  <c r="G215" i="25"/>
  <c r="G214" i="25"/>
  <c r="G213" i="25"/>
  <c r="G212" i="25"/>
  <c r="G211" i="25"/>
  <c r="G210" i="25"/>
  <c r="G209" i="25"/>
  <c r="G208" i="25"/>
  <c r="G207" i="25"/>
  <c r="G206" i="25"/>
  <c r="G203" i="25"/>
  <c r="G202" i="25"/>
  <c r="G201" i="25"/>
  <c r="G200" i="25"/>
  <c r="G199" i="25"/>
  <c r="G198" i="25"/>
  <c r="G195" i="25"/>
  <c r="G194" i="25"/>
  <c r="G193" i="25"/>
  <c r="G192" i="25"/>
  <c r="G189" i="25"/>
  <c r="G188" i="25"/>
  <c r="G187" i="25"/>
  <c r="G186" i="25"/>
  <c r="G185" i="25"/>
  <c r="G184" i="25"/>
  <c r="G183" i="25"/>
  <c r="G182" i="25"/>
  <c r="G181" i="25"/>
  <c r="G180" i="25"/>
  <c r="G179" i="25"/>
  <c r="G106" i="25"/>
  <c r="H106" i="25" s="1"/>
  <c r="G105" i="25"/>
  <c r="H105" i="25" s="1"/>
  <c r="G86" i="25"/>
  <c r="H86" i="25" s="1"/>
  <c r="G85" i="25"/>
  <c r="H85" i="25" s="1"/>
  <c r="G84" i="25"/>
  <c r="H84" i="25" s="1"/>
  <c r="G83" i="25"/>
  <c r="H83" i="25" s="1"/>
  <c r="H331" i="25" l="1"/>
  <c r="H251" i="25"/>
  <c r="G246" i="25" s="1"/>
  <c r="H246" i="25" s="1"/>
  <c r="H107" i="25"/>
  <c r="G104" i="25" s="1"/>
  <c r="H104" i="25" s="1"/>
  <c r="H87" i="25"/>
  <c r="H30" i="42"/>
  <c r="G1176" i="25"/>
  <c r="H1176" i="25" s="1"/>
  <c r="H1177" i="25" s="1"/>
  <c r="G1173" i="25"/>
  <c r="H1173" i="25" s="1"/>
  <c r="H1174" i="25" s="1"/>
  <c r="G1172" i="25" s="1"/>
  <c r="H1172" i="25" s="1"/>
  <c r="G1170" i="25"/>
  <c r="H1170" i="25" s="1"/>
  <c r="H1171" i="25" s="1"/>
  <c r="G1169" i="25" s="1"/>
  <c r="H1169" i="25" s="1"/>
  <c r="G1167" i="25"/>
  <c r="H1167" i="25" s="1"/>
  <c r="H1168" i="25" s="1"/>
  <c r="G1163" i="25"/>
  <c r="H1163" i="25" s="1"/>
  <c r="G1162" i="25"/>
  <c r="H1162" i="25" s="1"/>
  <c r="G1161" i="25"/>
  <c r="H1161" i="25" s="1"/>
  <c r="G1160" i="25"/>
  <c r="H1160" i="25" s="1"/>
  <c r="G1159" i="25"/>
  <c r="H1159" i="25" s="1"/>
  <c r="G1158" i="25"/>
  <c r="H1158" i="25" s="1"/>
  <c r="G1154" i="25"/>
  <c r="H1154" i="25" s="1"/>
  <c r="G1153" i="25"/>
  <c r="H1153" i="25" s="1"/>
  <c r="G1152" i="25"/>
  <c r="H1152" i="25" s="1"/>
  <c r="G1149" i="25"/>
  <c r="H1149" i="25" s="1"/>
  <c r="G1148" i="25"/>
  <c r="H1148" i="25" s="1"/>
  <c r="G1147" i="25"/>
  <c r="H1147" i="25" s="1"/>
  <c r="G1146" i="25"/>
  <c r="H1146" i="25" s="1"/>
  <c r="G1143" i="25"/>
  <c r="H1143" i="25" s="1"/>
  <c r="G1142" i="25"/>
  <c r="H1142" i="25" s="1"/>
  <c r="G1141" i="25"/>
  <c r="H1141" i="25" s="1"/>
  <c r="G1138" i="25"/>
  <c r="H1138" i="25" s="1"/>
  <c r="G1137" i="25"/>
  <c r="H1137" i="25" s="1"/>
  <c r="G1127" i="25"/>
  <c r="H1127" i="25" s="1"/>
  <c r="G1132" i="25"/>
  <c r="H1132" i="25" s="1"/>
  <c r="G1131" i="25"/>
  <c r="H1131" i="25" s="1"/>
  <c r="G1130" i="25"/>
  <c r="H1130" i="25" s="1"/>
  <c r="G1129" i="25"/>
  <c r="H1129" i="25" s="1"/>
  <c r="G1128" i="25"/>
  <c r="H1128" i="25" s="1"/>
  <c r="G1126" i="25"/>
  <c r="H1126" i="25" s="1"/>
  <c r="G1123" i="25"/>
  <c r="H1123" i="25" s="1"/>
  <c r="G1122" i="25"/>
  <c r="H1122" i="25" s="1"/>
  <c r="G1121" i="25"/>
  <c r="H1121" i="25" s="1"/>
  <c r="G1120" i="25"/>
  <c r="H1120" i="25" s="1"/>
  <c r="G1119" i="25"/>
  <c r="H1119" i="25" s="1"/>
  <c r="G1118" i="25"/>
  <c r="H1118" i="25" s="1"/>
  <c r="G1115" i="25"/>
  <c r="H1115" i="25" s="1"/>
  <c r="G1114" i="25"/>
  <c r="H1114" i="25" s="1"/>
  <c r="G1113" i="25"/>
  <c r="H1113" i="25" s="1"/>
  <c r="G1112" i="25"/>
  <c r="H1112" i="25" s="1"/>
  <c r="G1175" i="25" l="1"/>
  <c r="H1175" i="25" s="1"/>
  <c r="G1166" i="25"/>
  <c r="H1166" i="25" s="1"/>
  <c r="H1139" i="25"/>
  <c r="G1136" i="25" s="1"/>
  <c r="H1136" i="25" s="1"/>
  <c r="H1150" i="25"/>
  <c r="G1145" i="25" s="1"/>
  <c r="H1145" i="25" s="1"/>
  <c r="H1144" i="25"/>
  <c r="G1140" i="25" s="1"/>
  <c r="H1140" i="25" s="1"/>
  <c r="H1155" i="25"/>
  <c r="H1164" i="25"/>
  <c r="H1133" i="25"/>
  <c r="G1125" i="25" s="1"/>
  <c r="H1125" i="25" s="1"/>
  <c r="H1124" i="25"/>
  <c r="H1116" i="25"/>
  <c r="G1111" i="25" s="1"/>
  <c r="H1111" i="25" s="1"/>
  <c r="G1101" i="25"/>
  <c r="H1101" i="25" s="1"/>
  <c r="G1100" i="25"/>
  <c r="H1100" i="25" s="1"/>
  <c r="G1099" i="25"/>
  <c r="H1099" i="25" s="1"/>
  <c r="G1090" i="25"/>
  <c r="H1090" i="25" s="1"/>
  <c r="G1089" i="25"/>
  <c r="H1089" i="25" s="1"/>
  <c r="G1088" i="25"/>
  <c r="H1088" i="25" s="1"/>
  <c r="G1087" i="25"/>
  <c r="H1087" i="25" s="1"/>
  <c r="G1086" i="25"/>
  <c r="H1086" i="25" s="1"/>
  <c r="G1095" i="25"/>
  <c r="H1095" i="25" s="1"/>
  <c r="G1094" i="25"/>
  <c r="H1094" i="25" s="1"/>
  <c r="G1093" i="25"/>
  <c r="H1093" i="25" s="1"/>
  <c r="H803" i="25"/>
  <c r="G808" i="25"/>
  <c r="H808" i="25" s="1"/>
  <c r="G807" i="25"/>
  <c r="H807" i="25" s="1"/>
  <c r="G806" i="25"/>
  <c r="H806" i="25" s="1"/>
  <c r="G805" i="25"/>
  <c r="H805" i="25" s="1"/>
  <c r="G804" i="25"/>
  <c r="H804" i="25" s="1"/>
  <c r="G802" i="25"/>
  <c r="H802" i="25" s="1"/>
  <c r="G801" i="25"/>
  <c r="H801" i="25" s="1"/>
  <c r="G1157" i="25" l="1"/>
  <c r="H1157" i="25" s="1"/>
  <c r="G1151" i="25"/>
  <c r="H1151" i="25" s="1"/>
  <c r="G1117" i="25"/>
  <c r="H1117" i="25" s="1"/>
  <c r="H1102" i="25"/>
  <c r="G1098" i="25" s="1"/>
  <c r="H1098" i="25" s="1"/>
  <c r="H1096" i="25"/>
  <c r="G1092" i="25" s="1"/>
  <c r="H1092" i="25" s="1"/>
  <c r="H1091" i="25"/>
  <c r="G1085" i="25" s="1"/>
  <c r="H1085" i="25" s="1"/>
  <c r="H809" i="25"/>
  <c r="G800" i="25" s="1"/>
  <c r="H800" i="25" s="1"/>
  <c r="H231" i="48"/>
  <c r="I231" i="48" s="1"/>
  <c r="H230" i="48"/>
  <c r="I230" i="48" s="1"/>
  <c r="H229" i="48"/>
  <c r="I229" i="48" s="1"/>
  <c r="I228" i="48"/>
  <c r="H228" i="48"/>
  <c r="H227" i="48"/>
  <c r="I227" i="48" s="1"/>
  <c r="H224" i="48"/>
  <c r="I224" i="48" s="1"/>
  <c r="H223" i="48"/>
  <c r="I223" i="48" s="1"/>
  <c r="H221" i="48"/>
  <c r="I221" i="48" s="1"/>
  <c r="H220" i="48"/>
  <c r="I220" i="48" s="1"/>
  <c r="H219" i="48"/>
  <c r="I219" i="48" s="1"/>
  <c r="H218" i="48"/>
  <c r="I218" i="48" s="1"/>
  <c r="H214" i="48"/>
  <c r="I214" i="48" s="1"/>
  <c r="I213" i="48"/>
  <c r="H213" i="48"/>
  <c r="H212" i="48"/>
  <c r="I212" i="48" s="1"/>
  <c r="H211" i="48"/>
  <c r="I211" i="48" s="1"/>
  <c r="I210" i="48"/>
  <c r="H210" i="48"/>
  <c r="H207" i="48"/>
  <c r="I207" i="48" s="1"/>
  <c r="H206" i="48"/>
  <c r="I206" i="48" s="1"/>
  <c r="H205" i="48"/>
  <c r="I205" i="48" s="1"/>
  <c r="H202" i="48"/>
  <c r="I202" i="48" s="1"/>
  <c r="H201" i="48"/>
  <c r="I201" i="48" s="1"/>
  <c r="H200" i="48"/>
  <c r="I200" i="48" s="1"/>
  <c r="H199" i="48"/>
  <c r="I199" i="48" s="1"/>
  <c r="H196" i="48"/>
  <c r="I196" i="48" s="1"/>
  <c r="H193" i="48"/>
  <c r="I193" i="48" s="1"/>
  <c r="H192" i="48"/>
  <c r="I192" i="48" s="1"/>
  <c r="H191" i="48"/>
  <c r="I191" i="48" s="1"/>
  <c r="H188" i="48"/>
  <c r="I188" i="48" s="1"/>
  <c r="H187" i="48"/>
  <c r="I187" i="48" s="1"/>
  <c r="I186" i="48"/>
  <c r="H186" i="48"/>
  <c r="H184" i="48"/>
  <c r="I184" i="48" s="1"/>
  <c r="H183" i="48"/>
  <c r="I183" i="48" s="1"/>
  <c r="H181" i="48"/>
  <c r="I181" i="48" s="1"/>
  <c r="H180" i="48"/>
  <c r="I180" i="48" s="1"/>
  <c r="H179" i="48"/>
  <c r="I179" i="48" s="1"/>
  <c r="H177" i="48"/>
  <c r="I177" i="48" s="1"/>
  <c r="H176" i="48"/>
  <c r="I176" i="48" s="1"/>
  <c r="I175" i="48"/>
  <c r="H175" i="48"/>
  <c r="H174" i="48"/>
  <c r="I174" i="48" s="1"/>
  <c r="H169" i="48"/>
  <c r="I169" i="48" s="1"/>
  <c r="H168" i="48"/>
  <c r="I168" i="48" s="1"/>
  <c r="H167" i="48"/>
  <c r="I167" i="48" s="1"/>
  <c r="H166" i="48"/>
  <c r="I166" i="48" s="1"/>
  <c r="H165" i="48"/>
  <c r="I165" i="48" s="1"/>
  <c r="H164" i="48"/>
  <c r="I164" i="48" s="1"/>
  <c r="H163" i="48"/>
  <c r="I163" i="48" s="1"/>
  <c r="H162" i="48"/>
  <c r="I162" i="48" s="1"/>
  <c r="H161" i="48"/>
  <c r="I161" i="48" s="1"/>
  <c r="H159" i="48"/>
  <c r="I159" i="48" s="1"/>
  <c r="H158" i="48"/>
  <c r="I158" i="48" s="1"/>
  <c r="H157" i="48"/>
  <c r="I157" i="48" s="1"/>
  <c r="H156" i="48"/>
  <c r="I156" i="48" s="1"/>
  <c r="H155" i="48"/>
  <c r="I155" i="48" s="1"/>
  <c r="H153" i="48"/>
  <c r="I153" i="48" s="1"/>
  <c r="H152" i="48"/>
  <c r="I152" i="48" s="1"/>
  <c r="H151" i="48"/>
  <c r="I151" i="48" s="1"/>
  <c r="H149" i="48"/>
  <c r="I149" i="48" s="1"/>
  <c r="H148" i="48"/>
  <c r="I148" i="48" s="1"/>
  <c r="I147" i="48"/>
  <c r="H147" i="48"/>
  <c r="H146" i="48"/>
  <c r="I146" i="48" s="1"/>
  <c r="H145" i="48"/>
  <c r="I145" i="48" s="1"/>
  <c r="H143" i="48"/>
  <c r="I143" i="48" s="1"/>
  <c r="H142" i="48"/>
  <c r="I142" i="48" s="1"/>
  <c r="H141" i="48"/>
  <c r="I141" i="48" s="1"/>
  <c r="H140" i="48"/>
  <c r="I140" i="48" s="1"/>
  <c r="H137" i="48"/>
  <c r="I137" i="48" s="1"/>
  <c r="H136" i="48"/>
  <c r="I136" i="48" s="1"/>
  <c r="H135" i="48"/>
  <c r="I135" i="48" s="1"/>
  <c r="H134" i="48"/>
  <c r="I134" i="48" s="1"/>
  <c r="H131" i="48"/>
  <c r="I131" i="48" s="1"/>
  <c r="H130" i="48"/>
  <c r="I130" i="48" s="1"/>
  <c r="H129" i="48"/>
  <c r="I129" i="48" s="1"/>
  <c r="H128" i="48"/>
  <c r="I128" i="48" s="1"/>
  <c r="H125" i="48"/>
  <c r="I125" i="48" s="1"/>
  <c r="H124" i="48"/>
  <c r="I124" i="48" s="1"/>
  <c r="H123" i="48"/>
  <c r="I123" i="48" s="1"/>
  <c r="H122" i="48"/>
  <c r="I122" i="48" s="1"/>
  <c r="H121" i="48"/>
  <c r="I121" i="48" s="1"/>
  <c r="H120" i="48"/>
  <c r="I120" i="48" s="1"/>
  <c r="H119" i="48"/>
  <c r="I119" i="48" s="1"/>
  <c r="H118" i="48"/>
  <c r="I118" i="48" s="1"/>
  <c r="H117" i="48"/>
  <c r="I117" i="48" s="1"/>
  <c r="H116" i="48"/>
  <c r="I116" i="48" s="1"/>
  <c r="H115" i="48"/>
  <c r="I115" i="48" s="1"/>
  <c r="H114" i="48"/>
  <c r="I114" i="48" s="1"/>
  <c r="H113" i="48"/>
  <c r="I113" i="48" s="1"/>
  <c r="H112" i="48"/>
  <c r="I112" i="48" s="1"/>
  <c r="H111" i="48"/>
  <c r="I111" i="48" s="1"/>
  <c r="H110" i="48"/>
  <c r="I110" i="48" s="1"/>
  <c r="H109" i="48"/>
  <c r="I109" i="48" s="1"/>
  <c r="H108" i="48"/>
  <c r="I108" i="48" s="1"/>
  <c r="H107" i="48"/>
  <c r="I107" i="48" s="1"/>
  <c r="H106" i="48"/>
  <c r="I106" i="48" s="1"/>
  <c r="H105" i="48"/>
  <c r="I105" i="48" s="1"/>
  <c r="H104" i="48"/>
  <c r="I104" i="48" s="1"/>
  <c r="H103" i="48"/>
  <c r="I103" i="48" s="1"/>
  <c r="H102" i="48"/>
  <c r="I102" i="48" s="1"/>
  <c r="H101" i="48"/>
  <c r="I101" i="48" s="1"/>
  <c r="H100" i="48"/>
  <c r="I100" i="48" s="1"/>
  <c r="H99" i="48"/>
  <c r="I99" i="48" s="1"/>
  <c r="H96" i="48"/>
  <c r="I96" i="48" s="1"/>
  <c r="H95" i="48"/>
  <c r="I95" i="48" s="1"/>
  <c r="H94" i="48"/>
  <c r="I94" i="48" s="1"/>
  <c r="H93" i="48"/>
  <c r="I93" i="48" s="1"/>
  <c r="H92" i="48"/>
  <c r="I92" i="48" s="1"/>
  <c r="H91" i="48"/>
  <c r="I91" i="48" s="1"/>
  <c r="H90" i="48"/>
  <c r="I90" i="48" s="1"/>
  <c r="H89" i="48"/>
  <c r="I89" i="48" s="1"/>
  <c r="H88" i="48"/>
  <c r="I88" i="48" s="1"/>
  <c r="H87" i="48"/>
  <c r="I87" i="48" s="1"/>
  <c r="H86" i="48"/>
  <c r="I86" i="48" s="1"/>
  <c r="H85" i="48"/>
  <c r="I85" i="48" s="1"/>
  <c r="H81" i="48"/>
  <c r="I81" i="48" s="1"/>
  <c r="H80" i="48"/>
  <c r="I80" i="48" s="1"/>
  <c r="H79" i="48"/>
  <c r="I79" i="48" s="1"/>
  <c r="H77" i="48"/>
  <c r="I77" i="48" s="1"/>
  <c r="H76" i="48"/>
  <c r="I76" i="48" s="1"/>
  <c r="H75" i="48"/>
  <c r="I75" i="48" s="1"/>
  <c r="H74" i="48"/>
  <c r="I74" i="48" s="1"/>
  <c r="H73" i="48"/>
  <c r="I73" i="48" s="1"/>
  <c r="H72" i="48"/>
  <c r="I72" i="48" s="1"/>
  <c r="H71" i="48"/>
  <c r="I71" i="48" s="1"/>
  <c r="H70" i="48"/>
  <c r="I70" i="48" s="1"/>
  <c r="H69" i="48"/>
  <c r="I69" i="48" s="1"/>
  <c r="H68" i="48"/>
  <c r="I68" i="48" s="1"/>
  <c r="H67" i="48"/>
  <c r="I67" i="48" s="1"/>
  <c r="H66" i="48"/>
  <c r="I66" i="48" s="1"/>
  <c r="H65" i="48"/>
  <c r="I65" i="48" s="1"/>
  <c r="I64" i="48"/>
  <c r="H64" i="48"/>
  <c r="H63" i="48"/>
  <c r="I63" i="48" s="1"/>
  <c r="H62" i="48"/>
  <c r="I62" i="48" s="1"/>
  <c r="H61" i="48"/>
  <c r="I61" i="48" s="1"/>
  <c r="H60" i="48"/>
  <c r="I60" i="48" s="1"/>
  <c r="H59" i="48"/>
  <c r="I59" i="48" s="1"/>
  <c r="H58" i="48"/>
  <c r="I58" i="48" s="1"/>
  <c r="H57" i="48"/>
  <c r="I57" i="48" s="1"/>
  <c r="H54" i="48"/>
  <c r="I54" i="48" s="1"/>
  <c r="H53" i="48"/>
  <c r="I53" i="48" s="1"/>
  <c r="H52" i="48"/>
  <c r="I52" i="48" s="1"/>
  <c r="H51" i="48"/>
  <c r="I51" i="48" s="1"/>
  <c r="H48" i="48"/>
  <c r="I48" i="48" s="1"/>
  <c r="H47" i="48"/>
  <c r="I47" i="48" s="1"/>
  <c r="H46" i="48"/>
  <c r="I46" i="48" s="1"/>
  <c r="H45" i="48"/>
  <c r="I45" i="48" s="1"/>
  <c r="I44" i="48"/>
  <c r="H44" i="48"/>
  <c r="H43" i="48"/>
  <c r="I43" i="48" s="1"/>
  <c r="H42" i="48"/>
  <c r="I42" i="48" s="1"/>
  <c r="H41" i="48"/>
  <c r="I41" i="48" s="1"/>
  <c r="H40" i="48"/>
  <c r="I40" i="48" s="1"/>
  <c r="H39" i="48"/>
  <c r="I39" i="48" s="1"/>
  <c r="H38" i="48"/>
  <c r="I38" i="48" s="1"/>
  <c r="H37" i="48"/>
  <c r="I37" i="48" s="1"/>
  <c r="H36" i="48"/>
  <c r="I36" i="48" s="1"/>
  <c r="H35" i="48"/>
  <c r="I35" i="48" s="1"/>
  <c r="H34" i="48"/>
  <c r="I34" i="48" s="1"/>
  <c r="H31" i="48"/>
  <c r="I31" i="48" s="1"/>
  <c r="I30" i="48"/>
  <c r="H30" i="48"/>
  <c r="H29" i="48"/>
  <c r="I29" i="48" s="1"/>
  <c r="H28" i="48"/>
  <c r="I28" i="48" s="1"/>
  <c r="H27" i="48"/>
  <c r="I27" i="48" s="1"/>
  <c r="I26" i="48"/>
  <c r="H26" i="48"/>
  <c r="H23" i="48"/>
  <c r="I23" i="48" s="1"/>
  <c r="I22" i="48"/>
  <c r="H22" i="48"/>
  <c r="H21" i="48"/>
  <c r="I21" i="48" s="1"/>
  <c r="H20" i="48"/>
  <c r="I20" i="48" s="1"/>
  <c r="H1050" i="25"/>
  <c r="H20" i="42"/>
  <c r="I20" i="42" s="1"/>
  <c r="I225" i="48" l="1"/>
  <c r="I215" i="48"/>
  <c r="I126" i="48"/>
  <c r="I32" i="48"/>
  <c r="I97" i="48"/>
  <c r="I24" i="48"/>
  <c r="I55" i="48"/>
  <c r="I82" i="48"/>
  <c r="I138" i="48"/>
  <c r="I189" i="48"/>
  <c r="I203" i="48"/>
  <c r="I132" i="48"/>
  <c r="I170" i="48"/>
  <c r="I208" i="48"/>
  <c r="I49" i="48"/>
  <c r="I197" i="48"/>
  <c r="I194" i="48"/>
  <c r="I232" i="48"/>
  <c r="G1109" i="25"/>
  <c r="H1109" i="25" s="1"/>
  <c r="G1108" i="25"/>
  <c r="H1108" i="25" s="1"/>
  <c r="G1107" i="25"/>
  <c r="H1107" i="25" s="1"/>
  <c r="G1106" i="25"/>
  <c r="H1106" i="25" s="1"/>
  <c r="G1105" i="25"/>
  <c r="H1105" i="25" s="1"/>
  <c r="G1104" i="25"/>
  <c r="H1104" i="25" s="1"/>
  <c r="H813" i="25"/>
  <c r="G818" i="25"/>
  <c r="H818" i="25" s="1"/>
  <c r="G817" i="25"/>
  <c r="H817" i="25" s="1"/>
  <c r="G816" i="25"/>
  <c r="H816" i="25" s="1"/>
  <c r="G815" i="25"/>
  <c r="H815" i="25" s="1"/>
  <c r="G814" i="25"/>
  <c r="H814" i="25" s="1"/>
  <c r="G812" i="25"/>
  <c r="H812" i="25" s="1"/>
  <c r="G811" i="25"/>
  <c r="H811" i="25" s="1"/>
  <c r="H793" i="25"/>
  <c r="G798" i="25"/>
  <c r="H798" i="25" s="1"/>
  <c r="G797" i="25"/>
  <c r="H797" i="25" s="1"/>
  <c r="G796" i="25"/>
  <c r="H796" i="25" s="1"/>
  <c r="G795" i="25"/>
  <c r="H795" i="25" s="1"/>
  <c r="G794" i="25"/>
  <c r="H794" i="25" s="1"/>
  <c r="G792" i="25"/>
  <c r="H792" i="25" s="1"/>
  <c r="G791" i="25"/>
  <c r="H791" i="25" s="1"/>
  <c r="H783" i="25"/>
  <c r="G788" i="25"/>
  <c r="H788" i="25" s="1"/>
  <c r="G787" i="25"/>
  <c r="H787" i="25" s="1"/>
  <c r="G786" i="25"/>
  <c r="H786" i="25" s="1"/>
  <c r="G785" i="25"/>
  <c r="H785" i="25" s="1"/>
  <c r="G784" i="25"/>
  <c r="H784" i="25" s="1"/>
  <c r="G782" i="25"/>
  <c r="H782" i="25" s="1"/>
  <c r="G781" i="25"/>
  <c r="H781" i="25" s="1"/>
  <c r="H799" i="25" l="1"/>
  <c r="G790" i="25" s="1"/>
  <c r="H790" i="25" s="1"/>
  <c r="I237" i="48"/>
  <c r="J132" i="48" s="1"/>
  <c r="H1110" i="25"/>
  <c r="G1103" i="25" s="1"/>
  <c r="H1103" i="25" s="1"/>
  <c r="H819" i="25"/>
  <c r="G810" i="25" s="1"/>
  <c r="H810" i="25" s="1"/>
  <c r="H789" i="25"/>
  <c r="G780" i="25" l="1"/>
  <c r="H780" i="25" s="1"/>
  <c r="J197" i="48"/>
  <c r="J189" i="48"/>
  <c r="J232" i="48"/>
  <c r="J97" i="48"/>
  <c r="J170" i="48"/>
  <c r="J138" i="48"/>
  <c r="J24" i="48"/>
  <c r="J237" i="48"/>
  <c r="J228" i="48"/>
  <c r="J224" i="48"/>
  <c r="J219" i="48"/>
  <c r="J214" i="48"/>
  <c r="J210" i="48"/>
  <c r="J199" i="48"/>
  <c r="J191" i="48"/>
  <c r="J187" i="48"/>
  <c r="J181" i="48"/>
  <c r="J176" i="48"/>
  <c r="J166" i="48"/>
  <c r="J162" i="48"/>
  <c r="J157" i="48"/>
  <c r="J152" i="48"/>
  <c r="J147" i="48"/>
  <c r="J142" i="48"/>
  <c r="J134" i="48"/>
  <c r="J130" i="48"/>
  <c r="J110" i="48"/>
  <c r="J114" i="48"/>
  <c r="J40" i="48"/>
  <c r="J37" i="48"/>
  <c r="J118" i="48"/>
  <c r="J95" i="48"/>
  <c r="J91" i="48"/>
  <c r="J87" i="48"/>
  <c r="J52" i="48"/>
  <c r="J45" i="48"/>
  <c r="J122" i="48"/>
  <c r="J106" i="48"/>
  <c r="J61" i="48"/>
  <c r="J46" i="48"/>
  <c r="J65" i="48"/>
  <c r="J41" i="48"/>
  <c r="J69" i="48"/>
  <c r="J103" i="48"/>
  <c r="J39" i="48"/>
  <c r="J73" i="48"/>
  <c r="J64" i="48"/>
  <c r="J90" i="48"/>
  <c r="J30" i="48"/>
  <c r="J111" i="48"/>
  <c r="J137" i="48"/>
  <c r="J192" i="48"/>
  <c r="J229" i="48"/>
  <c r="J74" i="48"/>
  <c r="J105" i="48"/>
  <c r="J123" i="48"/>
  <c r="J156" i="48"/>
  <c r="J177" i="48"/>
  <c r="J227" i="48"/>
  <c r="J99" i="48"/>
  <c r="J124" i="48"/>
  <c r="J153" i="48"/>
  <c r="J186" i="48"/>
  <c r="J220" i="48"/>
  <c r="J115" i="48"/>
  <c r="J145" i="48"/>
  <c r="J164" i="48"/>
  <c r="J206" i="48"/>
  <c r="J221" i="48"/>
  <c r="J27" i="48"/>
  <c r="J48" i="48"/>
  <c r="J68" i="48"/>
  <c r="J94" i="48"/>
  <c r="J23" i="48"/>
  <c r="J51" i="48"/>
  <c r="J72" i="48"/>
  <c r="J21" i="48"/>
  <c r="J44" i="48"/>
  <c r="J76" i="48"/>
  <c r="J71" i="48"/>
  <c r="J32" i="48"/>
  <c r="J47" i="48"/>
  <c r="J54" i="48"/>
  <c r="J116" i="48"/>
  <c r="J148" i="48"/>
  <c r="J174" i="48"/>
  <c r="J42" i="48"/>
  <c r="J79" i="48"/>
  <c r="J107" i="48"/>
  <c r="J140" i="48"/>
  <c r="J159" i="48"/>
  <c r="J188" i="48"/>
  <c r="J205" i="48"/>
  <c r="J230" i="48"/>
  <c r="J88" i="48"/>
  <c r="J108" i="48"/>
  <c r="J131" i="48"/>
  <c r="J163" i="48"/>
  <c r="J100" i="48"/>
  <c r="J120" i="48"/>
  <c r="J151" i="48"/>
  <c r="J169" i="48"/>
  <c r="J215" i="48"/>
  <c r="J231" i="48"/>
  <c r="J35" i="48"/>
  <c r="J53" i="48"/>
  <c r="J75" i="48"/>
  <c r="J102" i="48"/>
  <c r="J28" i="48"/>
  <c r="J80" i="48"/>
  <c r="J29" i="48"/>
  <c r="J60" i="48"/>
  <c r="J86" i="48"/>
  <c r="J77" i="48"/>
  <c r="J43" i="48"/>
  <c r="J62" i="48"/>
  <c r="J57" i="48"/>
  <c r="J125" i="48"/>
  <c r="J158" i="48"/>
  <c r="J180" i="48"/>
  <c r="J202" i="48"/>
  <c r="J66" i="48"/>
  <c r="J126" i="48"/>
  <c r="J112" i="48"/>
  <c r="J128" i="48"/>
  <c r="J146" i="48"/>
  <c r="J165" i="48"/>
  <c r="J193" i="48"/>
  <c r="J212" i="48"/>
  <c r="J92" i="48"/>
  <c r="J117" i="48"/>
  <c r="J136" i="48"/>
  <c r="J175" i="48"/>
  <c r="J196" i="48"/>
  <c r="J104" i="48"/>
  <c r="J129" i="48"/>
  <c r="J155" i="48"/>
  <c r="J183" i="48"/>
  <c r="J213" i="48"/>
  <c r="J38" i="48"/>
  <c r="J59" i="48"/>
  <c r="J85" i="48"/>
  <c r="J20" i="48"/>
  <c r="J31" i="48"/>
  <c r="J63" i="48"/>
  <c r="J89" i="48"/>
  <c r="J36" i="48"/>
  <c r="J67" i="48"/>
  <c r="J93" i="48"/>
  <c r="J81" i="48"/>
  <c r="J22" i="48"/>
  <c r="J26" i="48"/>
  <c r="J109" i="48"/>
  <c r="J167" i="48"/>
  <c r="J184" i="48"/>
  <c r="J211" i="48"/>
  <c r="J70" i="48"/>
  <c r="J101" i="48"/>
  <c r="J121" i="48"/>
  <c r="J135" i="48"/>
  <c r="J149" i="48"/>
  <c r="J168" i="48"/>
  <c r="J200" i="48"/>
  <c r="J223" i="48"/>
  <c r="J34" i="48"/>
  <c r="J96" i="48"/>
  <c r="J119" i="48"/>
  <c r="J143" i="48"/>
  <c r="J179" i="48"/>
  <c r="J201" i="48"/>
  <c r="J113" i="48"/>
  <c r="J141" i="48"/>
  <c r="J161" i="48"/>
  <c r="J225" i="48"/>
  <c r="J218" i="48"/>
  <c r="J58" i="48"/>
  <c r="J208" i="48"/>
  <c r="J55" i="48"/>
  <c r="J194" i="48"/>
  <c r="J82" i="48"/>
  <c r="J203" i="48"/>
  <c r="J49" i="48"/>
  <c r="H1081" i="25" l="1"/>
  <c r="H1080" i="25"/>
  <c r="G1079" i="25"/>
  <c r="H1079" i="25" s="1"/>
  <c r="G1078" i="25"/>
  <c r="H1078" i="25" s="1"/>
  <c r="G1077" i="25"/>
  <c r="H1077" i="25" s="1"/>
  <c r="G1074" i="25"/>
  <c r="H1074" i="25" s="1"/>
  <c r="G1073" i="25"/>
  <c r="H1073" i="25" s="1"/>
  <c r="G1072" i="25"/>
  <c r="H1072" i="25" s="1"/>
  <c r="G1069" i="25"/>
  <c r="H1069" i="25" s="1"/>
  <c r="G1068" i="25"/>
  <c r="H1068" i="25" s="1"/>
  <c r="G1067" i="25"/>
  <c r="H1067" i="25" s="1"/>
  <c r="G1064" i="25"/>
  <c r="H1064" i="25" s="1"/>
  <c r="G1063" i="25"/>
  <c r="H1063" i="25" s="1"/>
  <c r="G1062" i="25"/>
  <c r="H1062" i="25" s="1"/>
  <c r="G1061" i="25"/>
  <c r="H1061" i="25" s="1"/>
  <c r="G1060" i="25"/>
  <c r="H1060" i="25" s="1"/>
  <c r="G1059" i="25"/>
  <c r="H1059" i="25" s="1"/>
  <c r="G1058" i="25"/>
  <c r="H1058" i="25" s="1"/>
  <c r="G1057" i="25"/>
  <c r="H1057" i="25" s="1"/>
  <c r="G1056" i="25"/>
  <c r="H1056" i="25" s="1"/>
  <c r="G1052" i="25"/>
  <c r="H1052" i="25" s="1"/>
  <c r="G1051" i="25"/>
  <c r="H1051" i="25" s="1"/>
  <c r="G1049" i="25"/>
  <c r="H1049" i="25" s="1"/>
  <c r="G1048" i="25"/>
  <c r="H1048" i="25" s="1"/>
  <c r="G1047" i="25"/>
  <c r="H1047" i="25" s="1"/>
  <c r="G1046" i="25"/>
  <c r="H1046" i="25" s="1"/>
  <c r="G1043" i="25"/>
  <c r="H1043" i="25" s="1"/>
  <c r="G1042" i="25"/>
  <c r="H1042" i="25" s="1"/>
  <c r="G1041" i="25"/>
  <c r="H1041" i="25" s="1"/>
  <c r="G1038" i="25"/>
  <c r="H1038" i="25" s="1"/>
  <c r="G1037" i="25"/>
  <c r="H1037" i="25" s="1"/>
  <c r="G1036" i="25"/>
  <c r="H1036" i="25" s="1"/>
  <c r="G1033" i="25"/>
  <c r="H1033" i="25" s="1"/>
  <c r="G1032" i="25"/>
  <c r="H1032" i="25" s="1"/>
  <c r="G1031" i="25"/>
  <c r="H1031" i="25" s="1"/>
  <c r="G1027" i="25"/>
  <c r="H1027" i="25" s="1"/>
  <c r="G1026" i="25"/>
  <c r="H1026" i="25" s="1"/>
  <c r="G1025" i="25"/>
  <c r="H1025" i="25" s="1"/>
  <c r="G1024" i="25"/>
  <c r="H1024" i="25" s="1"/>
  <c r="H1020" i="25"/>
  <c r="H1019" i="25"/>
  <c r="G1018" i="25"/>
  <c r="H1018" i="25" s="1"/>
  <c r="G1015" i="25"/>
  <c r="H1015" i="25" s="1"/>
  <c r="G1014" i="25"/>
  <c r="H1014" i="25" s="1"/>
  <c r="G1013" i="25"/>
  <c r="H1013" i="25" s="1"/>
  <c r="G1012" i="25"/>
  <c r="H1012" i="25" s="1"/>
  <c r="G1011" i="25"/>
  <c r="H1011" i="25" s="1"/>
  <c r="G1010" i="25"/>
  <c r="H1010" i="25" s="1"/>
  <c r="G1009" i="25"/>
  <c r="H1009" i="25" s="1"/>
  <c r="G1008" i="25"/>
  <c r="H1008" i="25" s="1"/>
  <c r="G1007" i="25"/>
  <c r="H1007" i="25" s="1"/>
  <c r="G1006" i="25"/>
  <c r="H1006" i="25" s="1"/>
  <c r="G1005" i="25"/>
  <c r="H1005" i="25" s="1"/>
  <c r="G1004" i="25"/>
  <c r="H1004" i="25" s="1"/>
  <c r="G1001" i="25"/>
  <c r="H1001" i="25" s="1"/>
  <c r="H1002" i="25" s="1"/>
  <c r="G1000" i="25"/>
  <c r="H1000" i="25" s="1"/>
  <c r="G997" i="25"/>
  <c r="H997" i="25" s="1"/>
  <c r="G996" i="25"/>
  <c r="H996" i="25" s="1"/>
  <c r="G995" i="25"/>
  <c r="H995" i="25" s="1"/>
  <c r="G992" i="25"/>
  <c r="H992" i="25" s="1"/>
  <c r="G991" i="25"/>
  <c r="H991" i="25" s="1"/>
  <c r="G990" i="25"/>
  <c r="H990" i="25" s="1"/>
  <c r="G987" i="25"/>
  <c r="H987" i="25" s="1"/>
  <c r="G986" i="25"/>
  <c r="H986" i="25" s="1"/>
  <c r="G985" i="25"/>
  <c r="H985" i="25" s="1"/>
  <c r="G984" i="25"/>
  <c r="H984" i="25" s="1"/>
  <c r="G978" i="25"/>
  <c r="H978" i="25" s="1"/>
  <c r="G977" i="25"/>
  <c r="H977" i="25" s="1"/>
  <c r="G976" i="25"/>
  <c r="H976" i="25" s="1"/>
  <c r="G975" i="25"/>
  <c r="H975" i="25" s="1"/>
  <c r="G972" i="25"/>
  <c r="H972" i="25" s="1"/>
  <c r="G971" i="25"/>
  <c r="H971" i="25" s="1"/>
  <c r="G970" i="25"/>
  <c r="H970" i="25" s="1"/>
  <c r="G969" i="25"/>
  <c r="H969" i="25" s="1"/>
  <c r="G968" i="25"/>
  <c r="H968" i="25" s="1"/>
  <c r="G961" i="25"/>
  <c r="H961" i="25" s="1"/>
  <c r="G960" i="25"/>
  <c r="H960" i="25" s="1"/>
  <c r="G959" i="25"/>
  <c r="H959" i="25" s="1"/>
  <c r="G958" i="25"/>
  <c r="H958" i="25" s="1"/>
  <c r="G955" i="25"/>
  <c r="H955" i="25" s="1"/>
  <c r="G954" i="25"/>
  <c r="H954" i="25" s="1"/>
  <c r="G953" i="25"/>
  <c r="H953" i="25" s="1"/>
  <c r="G952" i="25"/>
  <c r="H952" i="25" s="1"/>
  <c r="G951" i="25"/>
  <c r="H951" i="25" s="1"/>
  <c r="G947" i="25"/>
  <c r="H947" i="25" s="1"/>
  <c r="G946" i="25"/>
  <c r="H946" i="25" s="1"/>
  <c r="G945" i="25"/>
  <c r="H945" i="25" s="1"/>
  <c r="G942" i="25"/>
  <c r="H942" i="25" s="1"/>
  <c r="G941" i="25"/>
  <c r="H941" i="25" s="1"/>
  <c r="G940" i="25"/>
  <c r="H940" i="25" s="1"/>
  <c r="G937" i="25"/>
  <c r="H937" i="25" s="1"/>
  <c r="G936" i="25"/>
  <c r="H936" i="25" s="1"/>
  <c r="G933" i="25"/>
  <c r="H933" i="25" s="1"/>
  <c r="G932" i="25"/>
  <c r="H932" i="25" s="1"/>
  <c r="G931" i="25"/>
  <c r="H931" i="25" s="1"/>
  <c r="G930" i="25"/>
  <c r="H930" i="25" s="1"/>
  <c r="G929" i="25"/>
  <c r="H929" i="25" s="1"/>
  <c r="G928" i="25"/>
  <c r="H928" i="25" s="1"/>
  <c r="G920" i="25"/>
  <c r="H920" i="25" s="1"/>
  <c r="G919" i="25"/>
  <c r="H919" i="25" s="1"/>
  <c r="G918" i="25"/>
  <c r="H918" i="25" s="1"/>
  <c r="G917" i="25"/>
  <c r="H917" i="25" s="1"/>
  <c r="G916" i="25"/>
  <c r="H916" i="25" s="1"/>
  <c r="G915" i="25"/>
  <c r="H915" i="25" s="1"/>
  <c r="G912" i="25"/>
  <c r="H912" i="25" s="1"/>
  <c r="G911" i="25"/>
  <c r="H911" i="25" s="1"/>
  <c r="G908" i="25"/>
  <c r="H908" i="25" s="1"/>
  <c r="G907" i="25"/>
  <c r="H907" i="25" s="1"/>
  <c r="G904" i="25"/>
  <c r="H904" i="25" s="1"/>
  <c r="G903" i="25"/>
  <c r="H903" i="25" s="1"/>
  <c r="G900" i="25"/>
  <c r="H900" i="25" s="1"/>
  <c r="G899" i="25"/>
  <c r="H899" i="25" s="1"/>
  <c r="G896" i="25"/>
  <c r="H896" i="25" s="1"/>
  <c r="G895" i="25"/>
  <c r="H895" i="25" s="1"/>
  <c r="G894" i="25"/>
  <c r="H894" i="25" s="1"/>
  <c r="G893" i="25"/>
  <c r="H893" i="25" s="1"/>
  <c r="G886" i="25"/>
  <c r="H886" i="25" s="1"/>
  <c r="G885" i="25"/>
  <c r="H885" i="25" s="1"/>
  <c r="G884" i="25"/>
  <c r="H884" i="25" s="1"/>
  <c r="G883" i="25"/>
  <c r="H883" i="25" s="1"/>
  <c r="G882" i="25"/>
  <c r="H882" i="25" s="1"/>
  <c r="G881" i="25"/>
  <c r="H881" i="25" s="1"/>
  <c r="G880" i="25"/>
  <c r="H880" i="25" s="1"/>
  <c r="G879" i="25"/>
  <c r="H879" i="25" s="1"/>
  <c r="G878" i="25"/>
  <c r="H878" i="25" s="1"/>
  <c r="G875" i="25"/>
  <c r="H875" i="25" s="1"/>
  <c r="H876" i="25" s="1"/>
  <c r="G874" i="25" s="1"/>
  <c r="G868" i="25"/>
  <c r="H868" i="25" s="1"/>
  <c r="G867" i="25"/>
  <c r="H867" i="25" s="1"/>
  <c r="G866" i="25"/>
  <c r="H866" i="25" s="1"/>
  <c r="G863" i="25"/>
  <c r="H863" i="25" s="1"/>
  <c r="G862" i="25"/>
  <c r="H862" i="25" s="1"/>
  <c r="G861" i="25"/>
  <c r="H861" i="25" s="1"/>
  <c r="H854" i="25"/>
  <c r="H858" i="25"/>
  <c r="H857" i="25"/>
  <c r="H856" i="25"/>
  <c r="H855" i="25"/>
  <c r="H853" i="25"/>
  <c r="G852" i="25"/>
  <c r="H852" i="25" s="1"/>
  <c r="G849" i="25"/>
  <c r="H849" i="25" s="1"/>
  <c r="G848" i="25"/>
  <c r="H848" i="25" s="1"/>
  <c r="G845" i="25"/>
  <c r="H845" i="25" s="1"/>
  <c r="G844" i="25"/>
  <c r="H844" i="25" s="1"/>
  <c r="H839" i="25"/>
  <c r="G841" i="25"/>
  <c r="H841" i="25" s="1"/>
  <c r="G840" i="25"/>
  <c r="H840" i="25" s="1"/>
  <c r="G838" i="25"/>
  <c r="H838" i="25" s="1"/>
  <c r="H832" i="25"/>
  <c r="G835" i="25"/>
  <c r="H835" i="25" s="1"/>
  <c r="G834" i="25"/>
  <c r="H834" i="25" s="1"/>
  <c r="G833" i="25"/>
  <c r="H833" i="25" s="1"/>
  <c r="G831" i="25"/>
  <c r="H831" i="25" s="1"/>
  <c r="H828" i="25"/>
  <c r="H827" i="25"/>
  <c r="H822" i="25"/>
  <c r="G826" i="25"/>
  <c r="H826" i="25" s="1"/>
  <c r="G825" i="25"/>
  <c r="H825" i="25" s="1"/>
  <c r="G824" i="25"/>
  <c r="H824" i="25" s="1"/>
  <c r="G823" i="25"/>
  <c r="H823" i="25" s="1"/>
  <c r="G821" i="25"/>
  <c r="H821" i="25" s="1"/>
  <c r="H775" i="25"/>
  <c r="G778" i="25"/>
  <c r="H778" i="25" s="1"/>
  <c r="G777" i="25"/>
  <c r="H777" i="25" s="1"/>
  <c r="G776" i="25"/>
  <c r="H776" i="25" s="1"/>
  <c r="G774" i="25"/>
  <c r="H774" i="25" s="1"/>
  <c r="G771" i="25"/>
  <c r="H771" i="25" s="1"/>
  <c r="G770" i="25"/>
  <c r="H770" i="25" s="1"/>
  <c r="G769" i="25"/>
  <c r="H769" i="25" s="1"/>
  <c r="H762" i="25"/>
  <c r="G766" i="25"/>
  <c r="H766" i="25" s="1"/>
  <c r="G765" i="25"/>
  <c r="H765" i="25" s="1"/>
  <c r="G764" i="25"/>
  <c r="H764" i="25" s="1"/>
  <c r="G763" i="25"/>
  <c r="H763" i="25" s="1"/>
  <c r="G761" i="25"/>
  <c r="H761" i="25" s="1"/>
  <c r="G760" i="25"/>
  <c r="H760" i="25" s="1"/>
  <c r="G759" i="25"/>
  <c r="H759" i="25" s="1"/>
  <c r="H752" i="25"/>
  <c r="G756" i="25"/>
  <c r="H756" i="25" s="1"/>
  <c r="G755" i="25"/>
  <c r="H755" i="25" s="1"/>
  <c r="G754" i="25"/>
  <c r="H754" i="25" s="1"/>
  <c r="G753" i="25"/>
  <c r="H753" i="25" s="1"/>
  <c r="G751" i="25"/>
  <c r="H751" i="25" s="1"/>
  <c r="G750" i="25"/>
  <c r="H750" i="25" s="1"/>
  <c r="G749" i="25"/>
  <c r="H749" i="25" s="1"/>
  <c r="G734" i="25"/>
  <c r="H734" i="25" s="1"/>
  <c r="G733" i="25"/>
  <c r="H733" i="25" s="1"/>
  <c r="G732" i="25"/>
  <c r="H732" i="25" s="1"/>
  <c r="G729" i="25"/>
  <c r="H729" i="25" s="1"/>
  <c r="G728" i="25"/>
  <c r="H728" i="25" s="1"/>
  <c r="G727" i="25"/>
  <c r="H727" i="25" s="1"/>
  <c r="G724" i="25"/>
  <c r="H724" i="25" s="1"/>
  <c r="G723" i="25"/>
  <c r="H723" i="25" s="1"/>
  <c r="G722" i="25"/>
  <c r="H722" i="25" s="1"/>
  <c r="G717" i="25"/>
  <c r="H717" i="25" s="1"/>
  <c r="H718" i="25" s="1"/>
  <c r="G716" i="25" s="1"/>
  <c r="H716" i="25" s="1"/>
  <c r="G714" i="25"/>
  <c r="H714" i="25" s="1"/>
  <c r="G713" i="25"/>
  <c r="H713" i="25" s="1"/>
  <c r="G712" i="25"/>
  <c r="H712" i="25" s="1"/>
  <c r="G711" i="25"/>
  <c r="H711" i="25" s="1"/>
  <c r="G710" i="25"/>
  <c r="H710" i="25" s="1"/>
  <c r="G707" i="25"/>
  <c r="H707" i="25" s="1"/>
  <c r="H708" i="25" s="1"/>
  <c r="G704" i="25"/>
  <c r="H704" i="25" s="1"/>
  <c r="G703" i="25"/>
  <c r="H703" i="25" s="1"/>
  <c r="G702" i="25"/>
  <c r="H702" i="25" s="1"/>
  <c r="G701" i="25"/>
  <c r="H701" i="25" s="1"/>
  <c r="G697" i="25"/>
  <c r="H697" i="25" s="1"/>
  <c r="G696" i="25"/>
  <c r="H696" i="25" s="1"/>
  <c r="G695" i="25"/>
  <c r="H695" i="25" s="1"/>
  <c r="G692" i="25"/>
  <c r="H692" i="25" s="1"/>
  <c r="G691" i="25"/>
  <c r="H691" i="25" s="1"/>
  <c r="G690" i="25"/>
  <c r="H690" i="25" s="1"/>
  <c r="G689" i="25"/>
  <c r="H689" i="25" s="1"/>
  <c r="G686" i="25"/>
  <c r="H686" i="25" s="1"/>
  <c r="G685" i="25"/>
  <c r="H685" i="25" s="1"/>
  <c r="G684" i="25"/>
  <c r="H684" i="25" s="1"/>
  <c r="G683" i="25"/>
  <c r="H683" i="25" s="1"/>
  <c r="G680" i="25"/>
  <c r="H680" i="25" s="1"/>
  <c r="G679" i="25"/>
  <c r="H679" i="25" s="1"/>
  <c r="G678" i="25"/>
  <c r="H678" i="25" s="1"/>
  <c r="G677" i="25"/>
  <c r="H677" i="25" s="1"/>
  <c r="G674" i="25"/>
  <c r="H674" i="25" s="1"/>
  <c r="G673" i="25"/>
  <c r="H673" i="25" s="1"/>
  <c r="G672" i="25"/>
  <c r="H672" i="25" s="1"/>
  <c r="G671" i="25"/>
  <c r="H671" i="25" s="1"/>
  <c r="G670" i="25"/>
  <c r="H670" i="25" s="1"/>
  <c r="G669" i="25"/>
  <c r="H669" i="25" s="1"/>
  <c r="G666" i="25"/>
  <c r="H666" i="25" s="1"/>
  <c r="G665" i="25"/>
  <c r="H665" i="25" s="1"/>
  <c r="G664" i="25"/>
  <c r="H664" i="25" s="1"/>
  <c r="G663" i="25"/>
  <c r="H663" i="25" s="1"/>
  <c r="G662" i="25"/>
  <c r="H662" i="25" s="1"/>
  <c r="G661" i="25"/>
  <c r="H661" i="25" s="1"/>
  <c r="G658" i="25"/>
  <c r="H658" i="25" s="1"/>
  <c r="G657" i="25"/>
  <c r="H657" i="25" s="1"/>
  <c r="G656" i="25"/>
  <c r="H656" i="25" s="1"/>
  <c r="G655" i="25"/>
  <c r="H655" i="25" s="1"/>
  <c r="G654" i="25"/>
  <c r="H654" i="25" s="1"/>
  <c r="G653" i="25"/>
  <c r="H653" i="25" s="1"/>
  <c r="G650" i="25"/>
  <c r="H650" i="25" s="1"/>
  <c r="G649" i="25"/>
  <c r="H649" i="25" s="1"/>
  <c r="G648" i="25"/>
  <c r="H648" i="25" s="1"/>
  <c r="G647" i="25"/>
  <c r="H647" i="25" s="1"/>
  <c r="G646" i="25"/>
  <c r="H646" i="25" s="1"/>
  <c r="G645" i="25"/>
  <c r="H645" i="25" s="1"/>
  <c r="H639" i="25"/>
  <c r="G642" i="25"/>
  <c r="H642" i="25" s="1"/>
  <c r="G641" i="25"/>
  <c r="H641" i="25" s="1"/>
  <c r="G640" i="25"/>
  <c r="H640" i="25" s="1"/>
  <c r="G638" i="25"/>
  <c r="H638" i="25" s="1"/>
  <c r="G637" i="25"/>
  <c r="H637" i="25" s="1"/>
  <c r="G636" i="25"/>
  <c r="H636" i="25" s="1"/>
  <c r="G626" i="25"/>
  <c r="H626" i="25" s="1"/>
  <c r="H627" i="25" s="1"/>
  <c r="G625" i="25"/>
  <c r="H625" i="25" s="1"/>
  <c r="H615" i="25"/>
  <c r="G614" i="25"/>
  <c r="H614" i="25" s="1"/>
  <c r="G603" i="25"/>
  <c r="H603" i="25" s="1"/>
  <c r="H604" i="25" s="1"/>
  <c r="G602" i="25" s="1"/>
  <c r="G599" i="25"/>
  <c r="H599" i="25" s="1"/>
  <c r="G598" i="25"/>
  <c r="H598" i="25" s="1"/>
  <c r="G597" i="25"/>
  <c r="H597" i="25" s="1"/>
  <c r="G596" i="25"/>
  <c r="H596" i="25" s="1"/>
  <c r="G595" i="25"/>
  <c r="H595" i="25" s="1"/>
  <c r="G594" i="25"/>
  <c r="H594" i="25" s="1"/>
  <c r="G591" i="25"/>
  <c r="H591" i="25" s="1"/>
  <c r="G590" i="25"/>
  <c r="H590" i="25" s="1"/>
  <c r="G589" i="25"/>
  <c r="H589" i="25" s="1"/>
  <c r="G588" i="25"/>
  <c r="H588" i="25" s="1"/>
  <c r="G587" i="25"/>
  <c r="H587" i="25" s="1"/>
  <c r="G586" i="25"/>
  <c r="H586" i="25" s="1"/>
  <c r="H581" i="25"/>
  <c r="G583" i="25"/>
  <c r="H583" i="25" s="1"/>
  <c r="G582" i="25"/>
  <c r="H582" i="25" s="1"/>
  <c r="G580" i="25"/>
  <c r="H580" i="25" s="1"/>
  <c r="G579" i="25"/>
  <c r="H579" i="25" s="1"/>
  <c r="G578" i="25"/>
  <c r="H578" i="25" s="1"/>
  <c r="G577" i="25"/>
  <c r="H577" i="25" s="1"/>
  <c r="G574" i="25"/>
  <c r="H574" i="25" s="1"/>
  <c r="G573" i="25"/>
  <c r="H573" i="25" s="1"/>
  <c r="G572" i="25"/>
  <c r="H572" i="25" s="1"/>
  <c r="G571" i="25"/>
  <c r="H571" i="25" s="1"/>
  <c r="G570" i="25"/>
  <c r="H570" i="25" s="1"/>
  <c r="G569" i="25"/>
  <c r="H569" i="25" s="1"/>
  <c r="H563" i="25"/>
  <c r="G566" i="25"/>
  <c r="H566" i="25" s="1"/>
  <c r="G565" i="25"/>
  <c r="H565" i="25" s="1"/>
  <c r="G564" i="25"/>
  <c r="H564" i="25" s="1"/>
  <c r="G562" i="25"/>
  <c r="H562" i="25" s="1"/>
  <c r="G561" i="25"/>
  <c r="H561" i="25" s="1"/>
  <c r="G560" i="25"/>
  <c r="H560" i="25" s="1"/>
  <c r="G557" i="25"/>
  <c r="H557" i="25" s="1"/>
  <c r="G556" i="25"/>
  <c r="H556" i="25" s="1"/>
  <c r="G555" i="25"/>
  <c r="H555" i="25" s="1"/>
  <c r="G554" i="25"/>
  <c r="H554" i="25" s="1"/>
  <c r="G553" i="25"/>
  <c r="H553" i="25" s="1"/>
  <c r="G552" i="25"/>
  <c r="H552" i="25" s="1"/>
  <c r="G542" i="25"/>
  <c r="H542" i="25" s="1"/>
  <c r="H543" i="25" s="1"/>
  <c r="G541" i="25" s="1"/>
  <c r="G538" i="25"/>
  <c r="H538" i="25" s="1"/>
  <c r="G537" i="25"/>
  <c r="H537" i="25" s="1"/>
  <c r="G536" i="25"/>
  <c r="H536" i="25" s="1"/>
  <c r="G535" i="25"/>
  <c r="H535" i="25" s="1"/>
  <c r="G534" i="25"/>
  <c r="H534" i="25" s="1"/>
  <c r="G533" i="25"/>
  <c r="H533" i="25" s="1"/>
  <c r="G530" i="25"/>
  <c r="H530" i="25" s="1"/>
  <c r="G529" i="25"/>
  <c r="H529" i="25" s="1"/>
  <c r="G528" i="25"/>
  <c r="H528" i="25" s="1"/>
  <c r="G527" i="25"/>
  <c r="H527" i="25" s="1"/>
  <c r="G526" i="25"/>
  <c r="H526" i="25" s="1"/>
  <c r="G525" i="25"/>
  <c r="H525" i="25" s="1"/>
  <c r="G522" i="25"/>
  <c r="H522" i="25" s="1"/>
  <c r="G521" i="25"/>
  <c r="H521" i="25" s="1"/>
  <c r="G520" i="25"/>
  <c r="H520" i="25" s="1"/>
  <c r="G519" i="25"/>
  <c r="H519" i="25" s="1"/>
  <c r="G518" i="25"/>
  <c r="H518" i="25" s="1"/>
  <c r="G517" i="25"/>
  <c r="H517" i="25" s="1"/>
  <c r="H511" i="25"/>
  <c r="G514" i="25"/>
  <c r="H514" i="25" s="1"/>
  <c r="G513" i="25"/>
  <c r="H513" i="25" s="1"/>
  <c r="G512" i="25"/>
  <c r="H512" i="25" s="1"/>
  <c r="G510" i="25"/>
  <c r="H510" i="25" s="1"/>
  <c r="G509" i="25"/>
  <c r="H509" i="25" s="1"/>
  <c r="G508" i="25"/>
  <c r="H508" i="25" s="1"/>
  <c r="G505" i="25"/>
  <c r="H505" i="25" s="1"/>
  <c r="G504" i="25"/>
  <c r="H504" i="25" s="1"/>
  <c r="G503" i="25"/>
  <c r="H503" i="25" s="1"/>
  <c r="G502" i="25"/>
  <c r="H502" i="25" s="1"/>
  <c r="G499" i="25"/>
  <c r="H499" i="25" s="1"/>
  <c r="G498" i="25"/>
  <c r="H498" i="25" s="1"/>
  <c r="G497" i="25"/>
  <c r="H497" i="25" s="1"/>
  <c r="G496" i="25"/>
  <c r="H496" i="25" s="1"/>
  <c r="G493" i="25"/>
  <c r="H493" i="25" s="1"/>
  <c r="G492" i="25"/>
  <c r="H492" i="25" s="1"/>
  <c r="G491" i="25"/>
  <c r="H491" i="25" s="1"/>
  <c r="G490" i="25"/>
  <c r="H490" i="25" s="1"/>
  <c r="G487" i="25"/>
  <c r="H487" i="25" s="1"/>
  <c r="G486" i="25"/>
  <c r="H486" i="25" s="1"/>
  <c r="G485" i="25"/>
  <c r="H485" i="25" s="1"/>
  <c r="G484" i="25"/>
  <c r="H484" i="25" s="1"/>
  <c r="H476" i="25"/>
  <c r="G480" i="25"/>
  <c r="H480" i="25" s="1"/>
  <c r="G479" i="25"/>
  <c r="H479" i="25" s="1"/>
  <c r="G478" i="25"/>
  <c r="H478" i="25" s="1"/>
  <c r="G477" i="25"/>
  <c r="H477" i="25" s="1"/>
  <c r="G475" i="25"/>
  <c r="H475" i="25" s="1"/>
  <c r="G474" i="25"/>
  <c r="H474" i="25" s="1"/>
  <c r="G473" i="25"/>
  <c r="H473" i="25" s="1"/>
  <c r="G472" i="25"/>
  <c r="H472" i="25" s="1"/>
  <c r="G465" i="25"/>
  <c r="H465" i="25" s="1"/>
  <c r="G464" i="25"/>
  <c r="H464" i="25" s="1"/>
  <c r="G463" i="25"/>
  <c r="H463" i="25" s="1"/>
  <c r="G462" i="25"/>
  <c r="H462" i="25" s="1"/>
  <c r="G459" i="25"/>
  <c r="H459" i="25" s="1"/>
  <c r="G458" i="25"/>
  <c r="H458" i="25" s="1"/>
  <c r="G457" i="25"/>
  <c r="H457" i="25" s="1"/>
  <c r="G456" i="25"/>
  <c r="H456" i="25" s="1"/>
  <c r="G455" i="25"/>
  <c r="H455" i="25" s="1"/>
  <c r="G454" i="25"/>
  <c r="H454" i="25" s="1"/>
  <c r="G453" i="25"/>
  <c r="H453" i="25" s="1"/>
  <c r="G452" i="25"/>
  <c r="H452" i="25" s="1"/>
  <c r="G451" i="25"/>
  <c r="H451" i="25" s="1"/>
  <c r="G450" i="25"/>
  <c r="H450" i="25" s="1"/>
  <c r="G446" i="25"/>
  <c r="H446" i="25" s="1"/>
  <c r="G445" i="25"/>
  <c r="H445" i="25" s="1"/>
  <c r="G444" i="25"/>
  <c r="H444" i="25" s="1"/>
  <c r="G443" i="25"/>
  <c r="H443" i="25" s="1"/>
  <c r="G442" i="25"/>
  <c r="H442" i="25" s="1"/>
  <c r="G441" i="25"/>
  <c r="H441" i="25" s="1"/>
  <c r="G438" i="25"/>
  <c r="H438" i="25" s="1"/>
  <c r="H439" i="25" s="1"/>
  <c r="G437" i="25" s="1"/>
  <c r="H437" i="25" s="1"/>
  <c r="H434" i="25"/>
  <c r="G435" i="25"/>
  <c r="H435" i="25" s="1"/>
  <c r="G430" i="25"/>
  <c r="G429" i="25"/>
  <c r="G419" i="25"/>
  <c r="G418" i="25"/>
  <c r="G409" i="25"/>
  <c r="G408" i="25"/>
  <c r="G397" i="25"/>
  <c r="H397" i="25" s="1"/>
  <c r="G396" i="25"/>
  <c r="H396" i="25" s="1"/>
  <c r="G395" i="25"/>
  <c r="H395" i="25" s="1"/>
  <c r="G394" i="25"/>
  <c r="H394" i="25" s="1"/>
  <c r="G391" i="25"/>
  <c r="H391" i="25" s="1"/>
  <c r="G390" i="25"/>
  <c r="H390" i="25" s="1"/>
  <c r="G389" i="25"/>
  <c r="H389" i="25" s="1"/>
  <c r="G388" i="25"/>
  <c r="H388" i="25" s="1"/>
  <c r="G385" i="25"/>
  <c r="H385" i="25" s="1"/>
  <c r="G384" i="25"/>
  <c r="H384" i="25" s="1"/>
  <c r="G383" i="25"/>
  <c r="H383" i="25" s="1"/>
  <c r="G382" i="25"/>
  <c r="H382" i="25" s="1"/>
  <c r="G379" i="25"/>
  <c r="H379" i="25" s="1"/>
  <c r="G378" i="25"/>
  <c r="H378" i="25" s="1"/>
  <c r="G377" i="25"/>
  <c r="H377" i="25" s="1"/>
  <c r="G376" i="25"/>
  <c r="H376" i="25" s="1"/>
  <c r="G371" i="25"/>
  <c r="H371" i="25" s="1"/>
  <c r="G370" i="25"/>
  <c r="H370" i="25" s="1"/>
  <c r="G369" i="25"/>
  <c r="H369" i="25" s="1"/>
  <c r="G366" i="25"/>
  <c r="H366" i="25" s="1"/>
  <c r="G365" i="25"/>
  <c r="H365" i="25" s="1"/>
  <c r="G364" i="25"/>
  <c r="H364" i="25" s="1"/>
  <c r="G363" i="25"/>
  <c r="H363" i="25" s="1"/>
  <c r="G360" i="25"/>
  <c r="H360" i="25" s="1"/>
  <c r="G359" i="25"/>
  <c r="H359" i="25" s="1"/>
  <c r="G358" i="25"/>
  <c r="H358" i="25" s="1"/>
  <c r="G357" i="25"/>
  <c r="H357" i="25" s="1"/>
  <c r="G353" i="25"/>
  <c r="H353" i="25" s="1"/>
  <c r="G352" i="25"/>
  <c r="H352" i="25" s="1"/>
  <c r="G351" i="25"/>
  <c r="H351" i="25" s="1"/>
  <c r="G348" i="25"/>
  <c r="H348" i="25" s="1"/>
  <c r="G347" i="25"/>
  <c r="H347" i="25" s="1"/>
  <c r="G346" i="25"/>
  <c r="H346" i="25" s="1"/>
  <c r="G345" i="25"/>
  <c r="H345" i="25" s="1"/>
  <c r="G342" i="25"/>
  <c r="H342" i="25" s="1"/>
  <c r="G341" i="25"/>
  <c r="H341" i="25" s="1"/>
  <c r="G340" i="25"/>
  <c r="H340" i="25" s="1"/>
  <c r="G339" i="25"/>
  <c r="H339" i="25" s="1"/>
  <c r="H659" i="25" l="1"/>
  <c r="G652" i="25" s="1"/>
  <c r="H652" i="25" s="1"/>
  <c r="H567" i="25"/>
  <c r="H447" i="25"/>
  <c r="G440" i="25" s="1"/>
  <c r="H440" i="25" s="1"/>
  <c r="H1082" i="25"/>
  <c r="H1075" i="25"/>
  <c r="G1071" i="25" s="1"/>
  <c r="H1071" i="25" s="1"/>
  <c r="H1070" i="25"/>
  <c r="G1066" i="25" s="1"/>
  <c r="H1066" i="25" s="1"/>
  <c r="H1065" i="25"/>
  <c r="G1055" i="25" s="1"/>
  <c r="H1039" i="25"/>
  <c r="G1035" i="25" s="1"/>
  <c r="H1035" i="25" s="1"/>
  <c r="H1053" i="25"/>
  <c r="H1044" i="25"/>
  <c r="G1040" i="25" s="1"/>
  <c r="H1040" i="25" s="1"/>
  <c r="H1021" i="25"/>
  <c r="G1017" i="25" s="1"/>
  <c r="H1017" i="25" s="1"/>
  <c r="H1034" i="25"/>
  <c r="G1030" i="25" s="1"/>
  <c r="H1030" i="25" s="1"/>
  <c r="H1028" i="25"/>
  <c r="G1023" i="25" s="1"/>
  <c r="H1023" i="25" s="1"/>
  <c r="H1016" i="25"/>
  <c r="G1003" i="25" s="1"/>
  <c r="H1003" i="25" s="1"/>
  <c r="H998" i="25"/>
  <c r="G994" i="25" s="1"/>
  <c r="H994" i="25" s="1"/>
  <c r="H993" i="25"/>
  <c r="G989" i="25" s="1"/>
  <c r="H989" i="25" s="1"/>
  <c r="H988" i="25"/>
  <c r="H979" i="25"/>
  <c r="G974" i="25" s="1"/>
  <c r="H973" i="25"/>
  <c r="G967" i="25" s="1"/>
  <c r="H967" i="25" s="1"/>
  <c r="H962" i="25"/>
  <c r="G957" i="25" s="1"/>
  <c r="H956" i="25"/>
  <c r="G950" i="25" s="1"/>
  <c r="H948" i="25"/>
  <c r="H938" i="25"/>
  <c r="G935" i="25" s="1"/>
  <c r="H935" i="25" s="1"/>
  <c r="H943" i="25"/>
  <c r="G939" i="25" s="1"/>
  <c r="H939" i="25" s="1"/>
  <c r="H934" i="25"/>
  <c r="G927" i="25" s="1"/>
  <c r="H927" i="25" s="1"/>
  <c r="H921" i="25"/>
  <c r="G914" i="25" s="1"/>
  <c r="H914" i="25" s="1"/>
  <c r="H905" i="25"/>
  <c r="G902" i="25" s="1"/>
  <c r="H902" i="25" s="1"/>
  <c r="H913" i="25"/>
  <c r="G910" i="25" s="1"/>
  <c r="H910" i="25" s="1"/>
  <c r="H909" i="25"/>
  <c r="G906" i="25" s="1"/>
  <c r="H906" i="25" s="1"/>
  <c r="H901" i="25"/>
  <c r="G898" i="25" s="1"/>
  <c r="H898" i="25" s="1"/>
  <c r="H897" i="25"/>
  <c r="G892" i="25" s="1"/>
  <c r="H874" i="25"/>
  <c r="H887" i="25"/>
  <c r="G877" i="25" s="1"/>
  <c r="H877" i="25" s="1"/>
  <c r="H850" i="25"/>
  <c r="G847" i="25" s="1"/>
  <c r="H847" i="25" s="1"/>
  <c r="H869" i="25"/>
  <c r="G865" i="25" s="1"/>
  <c r="H865" i="25" s="1"/>
  <c r="H864" i="25"/>
  <c r="G860" i="25" s="1"/>
  <c r="H860" i="25" s="1"/>
  <c r="H859" i="25"/>
  <c r="G851" i="25" s="1"/>
  <c r="H851" i="25" s="1"/>
  <c r="H846" i="25"/>
  <c r="G843" i="25" s="1"/>
  <c r="H843" i="25" s="1"/>
  <c r="H842" i="25"/>
  <c r="G837" i="25" s="1"/>
  <c r="H837" i="25" s="1"/>
  <c r="H829" i="25"/>
  <c r="G820" i="25" s="1"/>
  <c r="H820" i="25" s="1"/>
  <c r="H836" i="25"/>
  <c r="G830" i="25" s="1"/>
  <c r="H830" i="25" s="1"/>
  <c r="H779" i="25"/>
  <c r="G773" i="25" s="1"/>
  <c r="H773" i="25" s="1"/>
  <c r="H772" i="25"/>
  <c r="G768" i="25" s="1"/>
  <c r="H768" i="25" s="1"/>
  <c r="H767" i="25"/>
  <c r="G758" i="25" s="1"/>
  <c r="H758" i="25" s="1"/>
  <c r="H757" i="25"/>
  <c r="G748" i="25" s="1"/>
  <c r="H748" i="25" s="1"/>
  <c r="H735" i="25"/>
  <c r="G731" i="25" s="1"/>
  <c r="H731" i="25" s="1"/>
  <c r="H730" i="25"/>
  <c r="G726" i="25" s="1"/>
  <c r="H726" i="25" s="1"/>
  <c r="H725" i="25"/>
  <c r="G721" i="25" s="1"/>
  <c r="H721" i="25" s="1"/>
  <c r="H715" i="25"/>
  <c r="G709" i="25" s="1"/>
  <c r="H709" i="25" s="1"/>
  <c r="G706" i="25"/>
  <c r="H706" i="25" s="1"/>
  <c r="H705" i="25"/>
  <c r="G700" i="25" s="1"/>
  <c r="H700" i="25" s="1"/>
  <c r="H693" i="25"/>
  <c r="G688" i="25" s="1"/>
  <c r="H688" i="25" s="1"/>
  <c r="H698" i="25"/>
  <c r="G694" i="25" s="1"/>
  <c r="H694" i="25" s="1"/>
  <c r="H687" i="25"/>
  <c r="G682" i="25" s="1"/>
  <c r="H682" i="25" s="1"/>
  <c r="H681" i="25"/>
  <c r="G676" i="25" s="1"/>
  <c r="H676" i="25" s="1"/>
  <c r="H675" i="25"/>
  <c r="H667" i="25"/>
  <c r="H651" i="25"/>
  <c r="H643" i="25"/>
  <c r="G635" i="25" s="1"/>
  <c r="H635" i="25" s="1"/>
  <c r="H616" i="25"/>
  <c r="G613" i="25" s="1"/>
  <c r="H602" i="25"/>
  <c r="H600" i="25"/>
  <c r="G593" i="25" s="1"/>
  <c r="H593" i="25" s="1"/>
  <c r="H592" i="25"/>
  <c r="G585" i="25" s="1"/>
  <c r="H585" i="25" s="1"/>
  <c r="H584" i="25"/>
  <c r="G576" i="25" s="1"/>
  <c r="H576" i="25" s="1"/>
  <c r="H575" i="25"/>
  <c r="G568" i="25" s="1"/>
  <c r="H558" i="25"/>
  <c r="G551" i="25" s="1"/>
  <c r="H551" i="25" s="1"/>
  <c r="H541" i="25"/>
  <c r="H539" i="25"/>
  <c r="G532" i="25" s="1"/>
  <c r="H532" i="25" s="1"/>
  <c r="H531" i="25"/>
  <c r="H523" i="25"/>
  <c r="G516" i="25" s="1"/>
  <c r="H516" i="25" s="1"/>
  <c r="H515" i="25"/>
  <c r="H506" i="25"/>
  <c r="G501" i="25" s="1"/>
  <c r="H501" i="25" s="1"/>
  <c r="H500" i="25"/>
  <c r="G495" i="25" s="1"/>
  <c r="H495" i="25" s="1"/>
  <c r="H494" i="25"/>
  <c r="H488" i="25"/>
  <c r="H481" i="25"/>
  <c r="G471" i="25" s="1"/>
  <c r="H471" i="25" s="1"/>
  <c r="H466" i="25"/>
  <c r="G461" i="25" s="1"/>
  <c r="H461" i="25" s="1"/>
  <c r="H460" i="25"/>
  <c r="G449" i="25" s="1"/>
  <c r="H436" i="25"/>
  <c r="G433" i="25" s="1"/>
  <c r="H433" i="25" s="1"/>
  <c r="H392" i="25"/>
  <c r="G387" i="25" s="1"/>
  <c r="H387" i="25" s="1"/>
  <c r="H398" i="25"/>
  <c r="G393" i="25" s="1"/>
  <c r="H393" i="25" s="1"/>
  <c r="H386" i="25"/>
  <c r="G381" i="25" s="1"/>
  <c r="H381" i="25" s="1"/>
  <c r="H380" i="25"/>
  <c r="G375" i="25" s="1"/>
  <c r="H375" i="25" s="1"/>
  <c r="H372" i="25"/>
  <c r="G368" i="25" s="1"/>
  <c r="H368" i="25" s="1"/>
  <c r="H367" i="25"/>
  <c r="G362" i="25" s="1"/>
  <c r="H362" i="25" s="1"/>
  <c r="H349" i="25"/>
  <c r="G344" i="25" s="1"/>
  <c r="H344" i="25" s="1"/>
  <c r="H361" i="25"/>
  <c r="G356" i="25" s="1"/>
  <c r="H356" i="25" s="1"/>
  <c r="H354" i="25"/>
  <c r="G350" i="25" s="1"/>
  <c r="H350" i="25" s="1"/>
  <c r="H343" i="25"/>
  <c r="G338" i="25" s="1"/>
  <c r="H338" i="25" s="1"/>
  <c r="G336" i="25"/>
  <c r="H336" i="25" s="1"/>
  <c r="G335" i="25"/>
  <c r="H335" i="25" s="1"/>
  <c r="G334" i="25"/>
  <c r="H334" i="25" s="1"/>
  <c r="G333" i="25"/>
  <c r="H333" i="25" s="1"/>
  <c r="G320" i="25"/>
  <c r="H320" i="25" s="1"/>
  <c r="G319" i="25"/>
  <c r="H319" i="25" s="1"/>
  <c r="G318" i="25"/>
  <c r="H318" i="25" s="1"/>
  <c r="G315" i="25"/>
  <c r="H315" i="25" s="1"/>
  <c r="G314" i="25"/>
  <c r="H314" i="25" s="1"/>
  <c r="G313" i="25"/>
  <c r="H313" i="25" s="1"/>
  <c r="H306" i="25"/>
  <c r="H304" i="25"/>
  <c r="H297" i="25"/>
  <c r="G310" i="25"/>
  <c r="H310" i="25" s="1"/>
  <c r="G309" i="25"/>
  <c r="H309" i="25" s="1"/>
  <c r="G308" i="25"/>
  <c r="H308" i="25" s="1"/>
  <c r="G307" i="25"/>
  <c r="H307" i="25" s="1"/>
  <c r="G305" i="25"/>
  <c r="H305" i="25" s="1"/>
  <c r="G303" i="25"/>
  <c r="H303" i="25" s="1"/>
  <c r="G302" i="25"/>
  <c r="H302" i="25" s="1"/>
  <c r="G301" i="25"/>
  <c r="H301" i="25" s="1"/>
  <c r="G300" i="25"/>
  <c r="H300" i="25" s="1"/>
  <c r="G299" i="25"/>
  <c r="H299" i="25" s="1"/>
  <c r="G298" i="25"/>
  <c r="H298" i="25" s="1"/>
  <c r="G296" i="25"/>
  <c r="H296" i="25" s="1"/>
  <c r="G295" i="25"/>
  <c r="H295" i="25" s="1"/>
  <c r="G294" i="25"/>
  <c r="H294" i="25" s="1"/>
  <c r="G293" i="25"/>
  <c r="H293" i="25" s="1"/>
  <c r="G292" i="25"/>
  <c r="H292" i="25" s="1"/>
  <c r="G291" i="25"/>
  <c r="H291" i="25" s="1"/>
  <c r="G288" i="25"/>
  <c r="H288" i="25" s="1"/>
  <c r="G287" i="25"/>
  <c r="H287" i="25" s="1"/>
  <c r="G286" i="25"/>
  <c r="H286" i="25" s="1"/>
  <c r="G283" i="25"/>
  <c r="H283" i="25" s="1"/>
  <c r="G282" i="25"/>
  <c r="H282" i="25" s="1"/>
  <c r="G281" i="25"/>
  <c r="H281" i="25" s="1"/>
  <c r="G274" i="25"/>
  <c r="H274" i="25" s="1"/>
  <c r="G273" i="25"/>
  <c r="H273" i="25" s="1"/>
  <c r="G272" i="25"/>
  <c r="H272" i="25" s="1"/>
  <c r="G271" i="25"/>
  <c r="H271" i="25" s="1"/>
  <c r="G268" i="25"/>
  <c r="H268" i="25" s="1"/>
  <c r="G267" i="25"/>
  <c r="H267" i="25" s="1"/>
  <c r="G266" i="25"/>
  <c r="H266" i="25" s="1"/>
  <c r="G265" i="25"/>
  <c r="H265" i="25" s="1"/>
  <c r="G262" i="25"/>
  <c r="H262" i="25" s="1"/>
  <c r="G261" i="25"/>
  <c r="H261" i="25" s="1"/>
  <c r="G260" i="25"/>
  <c r="H260" i="25" s="1"/>
  <c r="G259" i="25"/>
  <c r="H259" i="25" s="1"/>
  <c r="G256" i="25"/>
  <c r="H256" i="25" s="1"/>
  <c r="G255" i="25"/>
  <c r="H255" i="25" s="1"/>
  <c r="G254" i="25"/>
  <c r="H254" i="25" s="1"/>
  <c r="G253" i="25"/>
  <c r="H253" i="25" s="1"/>
  <c r="G240" i="25"/>
  <c r="H240" i="25" s="1"/>
  <c r="G239" i="25"/>
  <c r="H239" i="25" s="1"/>
  <c r="G238" i="25"/>
  <c r="H238" i="25" s="1"/>
  <c r="G237" i="25"/>
  <c r="H237" i="25" s="1"/>
  <c r="G234" i="25"/>
  <c r="H234" i="25" s="1"/>
  <c r="G233" i="25"/>
  <c r="H233" i="25" s="1"/>
  <c r="G232" i="25"/>
  <c r="H232" i="25" s="1"/>
  <c r="G231" i="25"/>
  <c r="H231" i="25" s="1"/>
  <c r="G228" i="25"/>
  <c r="H228" i="25" s="1"/>
  <c r="G227" i="25"/>
  <c r="H227" i="25" s="1"/>
  <c r="G226" i="25"/>
  <c r="H226" i="25" s="1"/>
  <c r="G225" i="25"/>
  <c r="H225" i="25" s="1"/>
  <c r="G222" i="25"/>
  <c r="H222" i="25" s="1"/>
  <c r="G221" i="25"/>
  <c r="H221" i="25" s="1"/>
  <c r="G220" i="25"/>
  <c r="H220" i="25" s="1"/>
  <c r="G219" i="25"/>
  <c r="H219" i="25" s="1"/>
  <c r="H213" i="25"/>
  <c r="H211" i="25"/>
  <c r="H216" i="25"/>
  <c r="H215" i="25"/>
  <c r="H214" i="25"/>
  <c r="H212" i="25"/>
  <c r="H210" i="25"/>
  <c r="H209" i="25"/>
  <c r="H208" i="25"/>
  <c r="H207" i="25"/>
  <c r="H206" i="25"/>
  <c r="G660" i="25" l="1"/>
  <c r="H660" i="25" s="1"/>
  <c r="G668" i="25"/>
  <c r="H668" i="25" s="1"/>
  <c r="G644" i="25"/>
  <c r="H644" i="25" s="1"/>
  <c r="G489" i="25"/>
  <c r="H489" i="25" s="1"/>
  <c r="G483" i="25"/>
  <c r="H483" i="25" s="1"/>
  <c r="G559" i="25"/>
  <c r="H559" i="25" s="1"/>
  <c r="G1076" i="25"/>
  <c r="H1076" i="25" s="1"/>
  <c r="H1055" i="25"/>
  <c r="H974" i="25"/>
  <c r="H950" i="25"/>
  <c r="H957" i="25"/>
  <c r="G944" i="25"/>
  <c r="H944" i="25" s="1"/>
  <c r="H892" i="25"/>
  <c r="H889" i="25"/>
  <c r="H613" i="25"/>
  <c r="H568" i="25"/>
  <c r="G524" i="25"/>
  <c r="H524" i="25" s="1"/>
  <c r="G507" i="25"/>
  <c r="H507" i="25" s="1"/>
  <c r="H468" i="25"/>
  <c r="H449" i="25"/>
  <c r="H337" i="25"/>
  <c r="G332" i="25" s="1"/>
  <c r="H332" i="25" s="1"/>
  <c r="H321" i="25"/>
  <c r="G317" i="25" s="1"/>
  <c r="H317" i="25" s="1"/>
  <c r="H316" i="25"/>
  <c r="G312" i="25" s="1"/>
  <c r="H312" i="25" s="1"/>
  <c r="H289" i="25"/>
  <c r="G285" i="25" s="1"/>
  <c r="H285" i="25" s="1"/>
  <c r="H284" i="25"/>
  <c r="G280" i="25" s="1"/>
  <c r="H280" i="25" s="1"/>
  <c r="H311" i="25"/>
  <c r="G290" i="25" s="1"/>
  <c r="H290" i="25" s="1"/>
  <c r="H269" i="25"/>
  <c r="G264" i="25" s="1"/>
  <c r="H264" i="25" s="1"/>
  <c r="H275" i="25"/>
  <c r="H263" i="25"/>
  <c r="G258" i="25" s="1"/>
  <c r="H258" i="25" s="1"/>
  <c r="H257" i="25"/>
  <c r="G252" i="25" s="1"/>
  <c r="H252" i="25" s="1"/>
  <c r="H241" i="25"/>
  <c r="G236" i="25" s="1"/>
  <c r="H236" i="25" s="1"/>
  <c r="H235" i="25"/>
  <c r="G230" i="25" s="1"/>
  <c r="H229" i="25"/>
  <c r="G224" i="25" s="1"/>
  <c r="H224" i="25" s="1"/>
  <c r="H223" i="25"/>
  <c r="G218" i="25" s="1"/>
  <c r="H218" i="25" s="1"/>
  <c r="H217" i="25"/>
  <c r="G205" i="25" s="1"/>
  <c r="H205" i="25" s="1"/>
  <c r="H200" i="25"/>
  <c r="H198" i="25"/>
  <c r="G196" i="25"/>
  <c r="H196" i="25" s="1"/>
  <c r="H203" i="25"/>
  <c r="H202" i="25"/>
  <c r="H201" i="25"/>
  <c r="H199" i="25"/>
  <c r="G197" i="25"/>
  <c r="H197" i="25" s="1"/>
  <c r="H195" i="25"/>
  <c r="H194" i="25"/>
  <c r="H193" i="25"/>
  <c r="H192" i="25"/>
  <c r="H186" i="25"/>
  <c r="H184" i="25"/>
  <c r="H189" i="25"/>
  <c r="H188" i="25"/>
  <c r="H187" i="25"/>
  <c r="H185" i="25"/>
  <c r="H183" i="25"/>
  <c r="H182" i="25"/>
  <c r="H181" i="25"/>
  <c r="H180" i="25"/>
  <c r="H179" i="25"/>
  <c r="H270" i="25" l="1"/>
  <c r="G270" i="25"/>
  <c r="H277" i="25" s="1"/>
  <c r="H190" i="25"/>
  <c r="G178" i="25" s="1"/>
  <c r="H178" i="25" s="1"/>
  <c r="H1083" i="25"/>
  <c r="H323" i="25"/>
  <c r="H230" i="25"/>
  <c r="H243" i="25"/>
  <c r="H204" i="25"/>
  <c r="G173" i="25"/>
  <c r="H173" i="25" s="1"/>
  <c r="G171" i="25"/>
  <c r="H171" i="25" s="1"/>
  <c r="G169" i="25"/>
  <c r="H169" i="25" s="1"/>
  <c r="G176" i="25"/>
  <c r="H176" i="25" s="1"/>
  <c r="G175" i="25"/>
  <c r="H175" i="25" s="1"/>
  <c r="G174" i="25"/>
  <c r="H174" i="25" s="1"/>
  <c r="G172" i="25"/>
  <c r="H172" i="25" s="1"/>
  <c r="G170" i="25"/>
  <c r="H170" i="25" s="1"/>
  <c r="G168" i="25"/>
  <c r="H168" i="25" s="1"/>
  <c r="G167" i="25"/>
  <c r="H167" i="25" s="1"/>
  <c r="G166" i="25"/>
  <c r="H166" i="25" s="1"/>
  <c r="G165" i="25"/>
  <c r="H165" i="25" s="1"/>
  <c r="G161" i="25"/>
  <c r="H161" i="25" s="1"/>
  <c r="G160" i="25"/>
  <c r="H160" i="25" s="1"/>
  <c r="G159" i="25"/>
  <c r="H159" i="25" s="1"/>
  <c r="G158" i="25"/>
  <c r="H158" i="25" s="1"/>
  <c r="G157" i="25"/>
  <c r="H157" i="25" s="1"/>
  <c r="G156" i="25"/>
  <c r="H156" i="25" s="1"/>
  <c r="G155" i="25"/>
  <c r="H155" i="25" s="1"/>
  <c r="G151" i="25"/>
  <c r="H151" i="25" s="1"/>
  <c r="G150" i="25"/>
  <c r="H150" i="25" s="1"/>
  <c r="G149" i="25"/>
  <c r="H149" i="25" s="1"/>
  <c r="G148" i="25"/>
  <c r="H148" i="25" s="1"/>
  <c r="G147" i="25"/>
  <c r="H147" i="25" s="1"/>
  <c r="G146" i="25"/>
  <c r="H146" i="25" s="1"/>
  <c r="G145" i="25"/>
  <c r="H145" i="25" s="1"/>
  <c r="G144" i="25"/>
  <c r="H144" i="25" s="1"/>
  <c r="H140" i="25"/>
  <c r="G141" i="25"/>
  <c r="H141" i="25" s="1"/>
  <c r="G139" i="25"/>
  <c r="H139" i="25" s="1"/>
  <c r="G138" i="25"/>
  <c r="H138" i="25" s="1"/>
  <c r="G135" i="25"/>
  <c r="H135" i="25" s="1"/>
  <c r="G134" i="25"/>
  <c r="H134" i="25" s="1"/>
  <c r="G133" i="25"/>
  <c r="H133" i="25" s="1"/>
  <c r="G132" i="25"/>
  <c r="H132" i="25" s="1"/>
  <c r="G126" i="25"/>
  <c r="H126" i="25" s="1"/>
  <c r="G125" i="25"/>
  <c r="H125" i="25" s="1"/>
  <c r="G122" i="25"/>
  <c r="H122" i="25" s="1"/>
  <c r="G121" i="25"/>
  <c r="H121" i="25" s="1"/>
  <c r="G118" i="25"/>
  <c r="H118" i="25" s="1"/>
  <c r="G117" i="25"/>
  <c r="H117" i="25" s="1"/>
  <c r="G114" i="25"/>
  <c r="H114" i="25" s="1"/>
  <c r="G113" i="25"/>
  <c r="H113" i="25" s="1"/>
  <c r="G110" i="25"/>
  <c r="H110" i="25" s="1"/>
  <c r="G109" i="25"/>
  <c r="H109" i="25" s="1"/>
  <c r="G102" i="25"/>
  <c r="H102" i="25" s="1"/>
  <c r="G101" i="25"/>
  <c r="H101" i="25" s="1"/>
  <c r="G98" i="25"/>
  <c r="H98" i="25" s="1"/>
  <c r="G97" i="25"/>
  <c r="H97" i="25" s="1"/>
  <c r="G94" i="25"/>
  <c r="H94" i="25" s="1"/>
  <c r="H95" i="25" s="1"/>
  <c r="G93" i="25" s="1"/>
  <c r="H93" i="25" s="1"/>
  <c r="G91" i="25"/>
  <c r="H91" i="25" s="1"/>
  <c r="G90" i="25"/>
  <c r="H90" i="25" s="1"/>
  <c r="G89" i="25"/>
  <c r="H89" i="25" s="1"/>
  <c r="G81" i="25"/>
  <c r="H81" i="25" s="1"/>
  <c r="G80" i="25"/>
  <c r="H80" i="25" s="1"/>
  <c r="G76" i="25"/>
  <c r="H76" i="25" s="1"/>
  <c r="G75" i="25"/>
  <c r="H75" i="25" s="1"/>
  <c r="G72" i="25"/>
  <c r="H72" i="25" s="1"/>
  <c r="G71" i="25"/>
  <c r="H71" i="25" s="1"/>
  <c r="G68" i="25"/>
  <c r="H68" i="25" s="1"/>
  <c r="H69" i="25" s="1"/>
  <c r="G67" i="25" s="1"/>
  <c r="H67" i="25" s="1"/>
  <c r="G64" i="25"/>
  <c r="H64" i="25" s="1"/>
  <c r="G63" i="25"/>
  <c r="H63" i="25" s="1"/>
  <c r="G62" i="25"/>
  <c r="H62" i="25" s="1"/>
  <c r="G60" i="25"/>
  <c r="H60" i="25" s="1"/>
  <c r="G59" i="25"/>
  <c r="H59" i="25" s="1"/>
  <c r="G56" i="25"/>
  <c r="H56" i="25" s="1"/>
  <c r="H57" i="25" s="1"/>
  <c r="G55" i="25" s="1"/>
  <c r="H55" i="25" s="1"/>
  <c r="G53" i="25"/>
  <c r="H53" i="25" s="1"/>
  <c r="G52" i="25"/>
  <c r="H52" i="25" s="1"/>
  <c r="G51" i="25"/>
  <c r="H51" i="25" s="1"/>
  <c r="G49" i="25"/>
  <c r="H49" i="25" s="1"/>
  <c r="G48" i="25"/>
  <c r="H48" i="25" s="1"/>
  <c r="G47" i="25"/>
  <c r="H47" i="25" s="1"/>
  <c r="G46" i="25"/>
  <c r="H46" i="25" s="1"/>
  <c r="G43" i="25"/>
  <c r="H43" i="25" s="1"/>
  <c r="G42" i="25"/>
  <c r="H42" i="25" s="1"/>
  <c r="G38" i="25"/>
  <c r="H38" i="25" s="1"/>
  <c r="G37" i="25"/>
  <c r="H37" i="25" s="1"/>
  <c r="G36" i="25"/>
  <c r="H36" i="25" s="1"/>
  <c r="G35" i="25"/>
  <c r="H35" i="25" s="1"/>
  <c r="G34" i="25"/>
  <c r="H34" i="25" s="1"/>
  <c r="G31" i="25"/>
  <c r="H31" i="25" s="1"/>
  <c r="G30" i="25"/>
  <c r="H30" i="25" s="1"/>
  <c r="G29" i="25"/>
  <c r="H29" i="25" s="1"/>
  <c r="G28" i="25"/>
  <c r="H28" i="25" s="1"/>
  <c r="G27" i="25"/>
  <c r="H27" i="25" s="1"/>
  <c r="G21" i="25"/>
  <c r="H21" i="25" s="1"/>
  <c r="G20" i="25"/>
  <c r="H20" i="25" s="1"/>
  <c r="G19" i="25"/>
  <c r="H19" i="25" s="1"/>
  <c r="G18" i="25"/>
  <c r="H18" i="25" s="1"/>
  <c r="G17" i="25"/>
  <c r="H17" i="25" s="1"/>
  <c r="G16" i="25"/>
  <c r="H16" i="25" s="1"/>
  <c r="G15" i="25"/>
  <c r="H15" i="25" s="1"/>
  <c r="G14" i="25"/>
  <c r="H14" i="25" s="1"/>
  <c r="G191" i="25" l="1"/>
  <c r="H191" i="25" s="1"/>
  <c r="H177" i="25"/>
  <c r="G164" i="25" s="1"/>
  <c r="H164" i="25" s="1"/>
  <c r="H152" i="25"/>
  <c r="G143" i="25" s="1"/>
  <c r="H143" i="25" s="1"/>
  <c r="H162" i="25"/>
  <c r="G154" i="25" s="1"/>
  <c r="H154" i="25" s="1"/>
  <c r="H123" i="25"/>
  <c r="G120" i="25" s="1"/>
  <c r="H120" i="25" s="1"/>
  <c r="H142" i="25"/>
  <c r="G137" i="25" s="1"/>
  <c r="H137" i="25" s="1"/>
  <c r="H136" i="25"/>
  <c r="H127" i="25"/>
  <c r="G124" i="25" s="1"/>
  <c r="H124" i="25" s="1"/>
  <c r="H115" i="25"/>
  <c r="G112" i="25" s="1"/>
  <c r="H112" i="25" s="1"/>
  <c r="H119" i="25"/>
  <c r="G116" i="25" s="1"/>
  <c r="H116" i="25" s="1"/>
  <c r="H99" i="25"/>
  <c r="G96" i="25" s="1"/>
  <c r="H96" i="25" s="1"/>
  <c r="H111" i="25"/>
  <c r="G108" i="25" s="1"/>
  <c r="H108" i="25" s="1"/>
  <c r="H103" i="25"/>
  <c r="G100" i="25" s="1"/>
  <c r="H100" i="25" s="1"/>
  <c r="H82" i="25"/>
  <c r="G79" i="25" s="1"/>
  <c r="H79" i="25" s="1"/>
  <c r="H92" i="25"/>
  <c r="H77" i="25"/>
  <c r="G74" i="25" s="1"/>
  <c r="H74" i="25" s="1"/>
  <c r="H73" i="25"/>
  <c r="G70" i="25" s="1"/>
  <c r="H70" i="25" s="1"/>
  <c r="H65" i="25"/>
  <c r="H61" i="25"/>
  <c r="H54" i="25"/>
  <c r="H50" i="25"/>
  <c r="G45" i="25" s="1"/>
  <c r="H45" i="25" s="1"/>
  <c r="H44" i="25"/>
  <c r="H39" i="25"/>
  <c r="H22" i="25"/>
  <c r="G13" i="25" s="1"/>
  <c r="H13" i="25" s="1"/>
  <c r="H32" i="25"/>
  <c r="G58" i="25" l="1"/>
  <c r="H58" i="25" s="1"/>
  <c r="G88" i="25"/>
  <c r="H88" i="25" s="1"/>
  <c r="G41" i="25"/>
  <c r="H41" i="25" s="1"/>
  <c r="H128" i="25"/>
  <c r="G131" i="25"/>
  <c r="H131" i="25" s="1"/>
  <c r="G33" i="25"/>
  <c r="H33" i="25" s="1"/>
  <c r="G26" i="25"/>
  <c r="H26" i="25" s="1"/>
  <c r="O48" i="38"/>
  <c r="O46" i="38"/>
  <c r="O44" i="38"/>
  <c r="O42" i="38"/>
  <c r="O40" i="38"/>
  <c r="O38" i="38"/>
  <c r="O36" i="38"/>
  <c r="O34" i="38"/>
  <c r="O32" i="38"/>
  <c r="O30" i="38"/>
  <c r="O28" i="38"/>
  <c r="O26" i="38"/>
  <c r="O22" i="38"/>
  <c r="O24" i="38"/>
  <c r="O20" i="38"/>
  <c r="O18" i="38"/>
  <c r="O16" i="38"/>
  <c r="C28" i="38" l="1"/>
  <c r="H129" i="42"/>
  <c r="I129" i="42" s="1"/>
  <c r="H130" i="42"/>
  <c r="I130" i="42" s="1"/>
  <c r="H131" i="42"/>
  <c r="I131" i="42" s="1"/>
  <c r="H128" i="42"/>
  <c r="I128" i="42" s="1"/>
  <c r="I132" i="42" l="1"/>
  <c r="N28" i="38" l="1"/>
  <c r="C48" i="38"/>
  <c r="C46" i="38"/>
  <c r="C44" i="38"/>
  <c r="C42" i="38"/>
  <c r="C40" i="38"/>
  <c r="C38" i="38"/>
  <c r="C36" i="38"/>
  <c r="C34" i="38"/>
  <c r="C32" i="38"/>
  <c r="C30" i="38"/>
  <c r="C26" i="38"/>
  <c r="C24" i="38"/>
  <c r="C22" i="38"/>
  <c r="C20" i="38"/>
  <c r="C18" i="38"/>
  <c r="C16" i="38"/>
  <c r="C14" i="38"/>
  <c r="K29" i="38" l="1"/>
  <c r="I29" i="38"/>
  <c r="H137" i="42"/>
  <c r="I137" i="42" s="1"/>
  <c r="F743" i="25"/>
  <c r="H738" i="25"/>
  <c r="H739" i="25"/>
  <c r="H740" i="25"/>
  <c r="H741" i="25"/>
  <c r="H742" i="25"/>
  <c r="H737" i="25"/>
  <c r="H136" i="42"/>
  <c r="I136" i="42" s="1"/>
  <c r="H135" i="42"/>
  <c r="I135" i="42" s="1"/>
  <c r="H134" i="42"/>
  <c r="I134" i="42" s="1"/>
  <c r="H152" i="42"/>
  <c r="I152" i="42" s="1"/>
  <c r="O29" i="38" l="1"/>
  <c r="H743" i="25"/>
  <c r="H744" i="25" s="1"/>
  <c r="I138" i="42"/>
  <c r="N30" i="38" s="1"/>
  <c r="M31" i="38" s="1"/>
  <c r="O31" i="38" s="1"/>
  <c r="H21" i="42"/>
  <c r="I21" i="42" s="1"/>
  <c r="H22" i="42"/>
  <c r="I22" i="42" s="1"/>
  <c r="H23" i="42"/>
  <c r="I23" i="42" s="1"/>
  <c r="H207" i="42"/>
  <c r="I207" i="42" s="1"/>
  <c r="G24" i="25" l="1"/>
  <c r="H24" i="25" s="1"/>
  <c r="H25" i="25" s="1"/>
  <c r="G23" i="25"/>
  <c r="H23" i="25" s="1"/>
  <c r="H228" i="42"/>
  <c r="I228" i="42" s="1"/>
  <c r="H229" i="42"/>
  <c r="I229" i="42" s="1"/>
  <c r="H230" i="42"/>
  <c r="I230" i="42" s="1"/>
  <c r="H231" i="42"/>
  <c r="I231" i="42" s="1"/>
  <c r="H227" i="42"/>
  <c r="I227" i="42" s="1"/>
  <c r="N48" i="38" l="1"/>
  <c r="M49" i="38" s="1"/>
  <c r="O49" i="38" s="1"/>
  <c r="H153" i="42"/>
  <c r="I153" i="42" s="1"/>
  <c r="H76" i="42"/>
  <c r="I76" i="42" s="1"/>
  <c r="H223" i="42"/>
  <c r="I223" i="42" s="1"/>
  <c r="H224" i="42"/>
  <c r="I224" i="42" s="1"/>
  <c r="H219" i="42" l="1"/>
  <c r="I219" i="42" s="1"/>
  <c r="H220" i="42"/>
  <c r="I220" i="42" s="1"/>
  <c r="H221" i="42"/>
  <c r="I221" i="42" s="1"/>
  <c r="H218" i="42"/>
  <c r="I218" i="42" s="1"/>
  <c r="I225" i="42" l="1"/>
  <c r="H212" i="42"/>
  <c r="I212" i="42" s="1"/>
  <c r="H213" i="42"/>
  <c r="I213" i="42" s="1"/>
  <c r="H214" i="42"/>
  <c r="I214" i="42" s="1"/>
  <c r="H210" i="42"/>
  <c r="I210" i="42" s="1"/>
  <c r="N46" i="38" l="1"/>
  <c r="K47" i="38" s="1"/>
  <c r="I30" i="42"/>
  <c r="H211" i="42"/>
  <c r="I211" i="42" s="1"/>
  <c r="I215" i="42" s="1"/>
  <c r="N44" i="38" s="1"/>
  <c r="H206" i="42"/>
  <c r="I206" i="42" s="1"/>
  <c r="H205" i="42"/>
  <c r="I205" i="42" s="1"/>
  <c r="M47" i="38" l="1"/>
  <c r="O47" i="38" s="1"/>
  <c r="M45" i="38"/>
  <c r="K45" i="38"/>
  <c r="I208" i="42"/>
  <c r="N42" i="38" s="1"/>
  <c r="O45" i="38" l="1"/>
  <c r="K43" i="38"/>
  <c r="I43" i="38"/>
  <c r="O43" i="38" l="1"/>
  <c r="H200" i="42"/>
  <c r="I200" i="42" s="1"/>
  <c r="H201" i="42"/>
  <c r="I201" i="42" s="1"/>
  <c r="H202" i="42"/>
  <c r="I202" i="42" s="1"/>
  <c r="H199" i="42"/>
  <c r="I199" i="42" s="1"/>
  <c r="I203" i="42" l="1"/>
  <c r="N40" i="38" s="1"/>
  <c r="K41" i="38" l="1"/>
  <c r="I41" i="38"/>
  <c r="O41" i="38" l="1"/>
  <c r="H196" i="42"/>
  <c r="I196" i="42" s="1"/>
  <c r="I197" i="42" s="1"/>
  <c r="N38" i="38" s="1"/>
  <c r="H191" i="42"/>
  <c r="I191" i="42" s="1"/>
  <c r="H192" i="42"/>
  <c r="I192" i="42" s="1"/>
  <c r="H193" i="42"/>
  <c r="I193" i="42" s="1"/>
  <c r="H186" i="42"/>
  <c r="I186" i="42" s="1"/>
  <c r="H187" i="42"/>
  <c r="I187" i="42" s="1"/>
  <c r="H188" i="42"/>
  <c r="I188" i="42" s="1"/>
  <c r="M39" i="38" l="1"/>
  <c r="K39" i="38"/>
  <c r="I194" i="42"/>
  <c r="N36" i="38" s="1"/>
  <c r="O39" i="38" l="1"/>
  <c r="M37" i="38"/>
  <c r="K37" i="38"/>
  <c r="H184" i="42"/>
  <c r="I184" i="42" s="1"/>
  <c r="H183" i="42"/>
  <c r="I183" i="42" s="1"/>
  <c r="O37" i="38" l="1"/>
  <c r="H162" i="42"/>
  <c r="I162" i="42" s="1"/>
  <c r="H163" i="42"/>
  <c r="I163" i="42" s="1"/>
  <c r="H164" i="42"/>
  <c r="I164" i="42" s="1"/>
  <c r="H165" i="42"/>
  <c r="I165" i="42" s="1"/>
  <c r="H166" i="42"/>
  <c r="I166" i="42" s="1"/>
  <c r="H167" i="42"/>
  <c r="I167" i="42" s="1"/>
  <c r="H168" i="42"/>
  <c r="I168" i="42" s="1"/>
  <c r="H169" i="42"/>
  <c r="I169" i="42" s="1"/>
  <c r="H161" i="42"/>
  <c r="I161" i="42" s="1"/>
  <c r="H159" i="42"/>
  <c r="I159" i="42" s="1"/>
  <c r="H156" i="42"/>
  <c r="I156" i="42" s="1"/>
  <c r="H157" i="42"/>
  <c r="I157" i="42" s="1"/>
  <c r="H155" i="42"/>
  <c r="I155" i="42" s="1"/>
  <c r="H158" i="42" l="1"/>
  <c r="I158" i="42" s="1"/>
  <c r="H181" i="42" l="1"/>
  <c r="I181" i="42" s="1"/>
  <c r="H180" i="42"/>
  <c r="I180" i="42" s="1"/>
  <c r="H179" i="42"/>
  <c r="I179" i="42" s="1"/>
  <c r="H175" i="42"/>
  <c r="I175" i="42" s="1"/>
  <c r="H176" i="42"/>
  <c r="I176" i="42" s="1"/>
  <c r="H177" i="42"/>
  <c r="I177" i="42" s="1"/>
  <c r="H174" i="42"/>
  <c r="I174" i="42" s="1"/>
  <c r="I189" i="42" l="1"/>
  <c r="N34" i="38" l="1"/>
  <c r="I233" i="42"/>
  <c r="M35" i="38"/>
  <c r="K35" i="38"/>
  <c r="O35" i="38" l="1"/>
  <c r="H151" i="42"/>
  <c r="I151" i="42" s="1"/>
  <c r="H146" i="42"/>
  <c r="I146" i="42" s="1"/>
  <c r="H147" i="42"/>
  <c r="I147" i="42" s="1"/>
  <c r="H148" i="42"/>
  <c r="I148" i="42" s="1"/>
  <c r="H145" i="42"/>
  <c r="I145" i="42" s="1"/>
  <c r="H149" i="42"/>
  <c r="I149" i="42" s="1"/>
  <c r="H142" i="42" l="1"/>
  <c r="I142" i="42" s="1"/>
  <c r="H143" i="42"/>
  <c r="I143" i="42" s="1"/>
  <c r="H141" i="42" l="1"/>
  <c r="I141" i="42" s="1"/>
  <c r="H140" i="42"/>
  <c r="I140" i="42" s="1"/>
  <c r="I170" i="42" l="1"/>
  <c r="N32" i="38" s="1"/>
  <c r="H53" i="42"/>
  <c r="I53" i="42" s="1"/>
  <c r="H54" i="42"/>
  <c r="I54" i="42" s="1"/>
  <c r="H52" i="42"/>
  <c r="I52" i="42" s="1"/>
  <c r="M33" i="38" l="1"/>
  <c r="K33" i="38"/>
  <c r="H51" i="42"/>
  <c r="I51" i="42" s="1"/>
  <c r="I55" i="42" s="1"/>
  <c r="N20" i="38" s="1"/>
  <c r="H77" i="42"/>
  <c r="I77" i="42" s="1"/>
  <c r="O33" i="38" l="1"/>
  <c r="I21" i="38"/>
  <c r="G21" i="38"/>
  <c r="M21" i="38"/>
  <c r="K21" i="38"/>
  <c r="H125" i="42"/>
  <c r="I125" i="42" s="1"/>
  <c r="H124" i="42"/>
  <c r="I124" i="42" s="1"/>
  <c r="H123" i="42"/>
  <c r="I123" i="42" s="1"/>
  <c r="H122" i="42"/>
  <c r="I122" i="42" s="1"/>
  <c r="H121" i="42"/>
  <c r="I121" i="42" s="1"/>
  <c r="H120" i="42"/>
  <c r="I120" i="42" s="1"/>
  <c r="H119" i="42"/>
  <c r="I119" i="42" s="1"/>
  <c r="H118" i="42"/>
  <c r="I118" i="42" s="1"/>
  <c r="H117" i="42"/>
  <c r="I117" i="42" s="1"/>
  <c r="H116" i="42"/>
  <c r="I116" i="42" s="1"/>
  <c r="H629" i="25"/>
  <c r="H628" i="25"/>
  <c r="H115" i="42"/>
  <c r="I115" i="42" s="1"/>
  <c r="H619" i="25"/>
  <c r="H618" i="25"/>
  <c r="O21" i="38" l="1"/>
  <c r="H620" i="25"/>
  <c r="H622" i="25" s="1"/>
  <c r="H630" i="25"/>
  <c r="H632" i="25" s="1"/>
  <c r="H607" i="25"/>
  <c r="H606" i="25"/>
  <c r="H111" i="42"/>
  <c r="I111" i="42" s="1"/>
  <c r="H110" i="42"/>
  <c r="I110" i="42" s="1"/>
  <c r="H109" i="42"/>
  <c r="I109" i="42" s="1"/>
  <c r="H608" i="25" l="1"/>
  <c r="H610" i="25" s="1"/>
  <c r="H546" i="25"/>
  <c r="H545" i="25"/>
  <c r="H547" i="25" l="1"/>
  <c r="H95" i="42" l="1"/>
  <c r="I95" i="42" s="1"/>
  <c r="H94" i="42"/>
  <c r="I94" i="42" s="1"/>
  <c r="H93" i="42" l="1"/>
  <c r="I93" i="42" s="1"/>
  <c r="H92" i="42"/>
  <c r="I92" i="42" s="1"/>
  <c r="H91" i="42" l="1"/>
  <c r="I91" i="42" s="1"/>
  <c r="H424" i="25"/>
  <c r="H430" i="25"/>
  <c r="H429" i="25"/>
  <c r="G428" i="25"/>
  <c r="H428" i="25" s="1"/>
  <c r="H427" i="25"/>
  <c r="H426" i="25"/>
  <c r="H425" i="25"/>
  <c r="G423" i="25"/>
  <c r="H422" i="25"/>
  <c r="H90" i="42"/>
  <c r="I90" i="42" s="1"/>
  <c r="H419" i="25"/>
  <c r="H418" i="25"/>
  <c r="H417" i="25"/>
  <c r="H416" i="25"/>
  <c r="H415" i="25"/>
  <c r="H414" i="25"/>
  <c r="H413" i="25"/>
  <c r="H412" i="25"/>
  <c r="H89" i="42"/>
  <c r="I89" i="42" s="1"/>
  <c r="H405" i="25"/>
  <c r="H406" i="25"/>
  <c r="H409" i="25"/>
  <c r="H408" i="25"/>
  <c r="H407" i="25"/>
  <c r="G404" i="25"/>
  <c r="G403" i="25"/>
  <c r="H402" i="25"/>
  <c r="H401" i="25"/>
  <c r="H400" i="25"/>
  <c r="H410" i="25" l="1"/>
  <c r="G399" i="25" s="1"/>
  <c r="H431" i="25"/>
  <c r="G421" i="25" s="1"/>
  <c r="H421" i="25" s="1"/>
  <c r="H420" i="25"/>
  <c r="G411" i="25" s="1"/>
  <c r="H411" i="25" s="1"/>
  <c r="H86" i="42"/>
  <c r="I86" i="42" s="1"/>
  <c r="H87" i="42"/>
  <c r="I87" i="42" s="1"/>
  <c r="H88" i="42"/>
  <c r="I88" i="42" s="1"/>
  <c r="H85" i="42"/>
  <c r="I85" i="42" s="1"/>
  <c r="H399" i="25" l="1"/>
  <c r="H79" i="42"/>
  <c r="I79" i="42" s="1"/>
  <c r="H80" i="42"/>
  <c r="I80" i="42" s="1"/>
  <c r="H81" i="42"/>
  <c r="I81" i="42" s="1"/>
  <c r="H75" i="42"/>
  <c r="I75" i="42" s="1"/>
  <c r="H74" i="42"/>
  <c r="I74" i="42" s="1"/>
  <c r="H73" i="42"/>
  <c r="I73" i="42" s="1"/>
  <c r="H72" i="42"/>
  <c r="I72" i="42" s="1"/>
  <c r="H71" i="42" l="1"/>
  <c r="I71" i="42" s="1"/>
  <c r="H70" i="42"/>
  <c r="I70" i="42" s="1"/>
  <c r="H69" i="42"/>
  <c r="I69" i="42" s="1"/>
  <c r="H68" i="42"/>
  <c r="I68" i="42" s="1"/>
  <c r="H67" i="42"/>
  <c r="I67" i="42" s="1"/>
  <c r="H66" i="42"/>
  <c r="I66" i="42" s="1"/>
  <c r="H65" i="42"/>
  <c r="I65" i="42" s="1"/>
  <c r="H64" i="42"/>
  <c r="I64" i="42" s="1"/>
  <c r="H63" i="42"/>
  <c r="I63" i="42" s="1"/>
  <c r="H62" i="42"/>
  <c r="I62" i="42" s="1"/>
  <c r="H61" i="42"/>
  <c r="I61" i="42" s="1"/>
  <c r="H60" i="42"/>
  <c r="I60" i="42" s="1"/>
  <c r="H59" i="42"/>
  <c r="I59" i="42" s="1"/>
  <c r="H58" i="42"/>
  <c r="I58" i="42" s="1"/>
  <c r="H57" i="42"/>
  <c r="I57" i="42" s="1"/>
  <c r="I82" i="42" l="1"/>
  <c r="N22" i="38" s="1"/>
  <c r="H48" i="42"/>
  <c r="I48" i="42" s="1"/>
  <c r="H47" i="42"/>
  <c r="I47" i="42" s="1"/>
  <c r="H46" i="42"/>
  <c r="I46" i="42" s="1"/>
  <c r="H45" i="42"/>
  <c r="I45" i="42" s="1"/>
  <c r="H44" i="42"/>
  <c r="I44" i="42" s="1"/>
  <c r="H43" i="42"/>
  <c r="I43" i="42" s="1"/>
  <c r="H42" i="42"/>
  <c r="I42" i="42" s="1"/>
  <c r="H41" i="42"/>
  <c r="I41" i="42" s="1"/>
  <c r="H40" i="42"/>
  <c r="I40" i="42" s="1"/>
  <c r="H39" i="42"/>
  <c r="I39" i="42" s="1"/>
  <c r="H38" i="42"/>
  <c r="I38" i="42" s="1"/>
  <c r="H37" i="42"/>
  <c r="I37" i="42" s="1"/>
  <c r="H36" i="42"/>
  <c r="I36" i="42" s="1"/>
  <c r="H35" i="42"/>
  <c r="I35" i="42" s="1"/>
  <c r="H34" i="42"/>
  <c r="I34" i="42" s="1"/>
  <c r="H31" i="42"/>
  <c r="I31" i="42" s="1"/>
  <c r="H29" i="42"/>
  <c r="I29" i="42" s="1"/>
  <c r="G23" i="38" l="1"/>
  <c r="M23" i="38"/>
  <c r="K23" i="38"/>
  <c r="I23" i="38"/>
  <c r="I49" i="42"/>
  <c r="N18" i="38" s="1"/>
  <c r="G19" i="38" s="1"/>
  <c r="O19" i="38" s="1"/>
  <c r="H28" i="42"/>
  <c r="I28" i="42" s="1"/>
  <c r="H27" i="42"/>
  <c r="I27" i="42" s="1"/>
  <c r="H26" i="42"/>
  <c r="I26" i="42" s="1"/>
  <c r="E15" i="44"/>
  <c r="O23" i="38" l="1"/>
  <c r="I32" i="42"/>
  <c r="N16" i="38" s="1"/>
  <c r="G17" i="38" s="1"/>
  <c r="O17" i="38" s="1"/>
  <c r="I24" i="42"/>
  <c r="N14" i="38" l="1"/>
  <c r="G15" i="38" l="1"/>
  <c r="K15" i="38"/>
  <c r="M15" i="38"/>
  <c r="I15" i="38"/>
  <c r="O15" i="38" l="1"/>
  <c r="K32" i="43" l="1"/>
  <c r="K31" i="43"/>
  <c r="K33" i="43"/>
  <c r="K30" i="43"/>
  <c r="K34" i="43" l="1"/>
  <c r="H36" i="43" s="1"/>
  <c r="J36" i="43" s="1"/>
  <c r="E89" i="44"/>
  <c r="E16" i="44" l="1"/>
  <c r="E17" i="44"/>
  <c r="E18" i="44"/>
  <c r="E24" i="44"/>
  <c r="E25" i="44"/>
  <c r="E26" i="44"/>
  <c r="E27" i="44"/>
  <c r="E32" i="44"/>
  <c r="E33" i="44"/>
  <c r="E34" i="44"/>
  <c r="E35" i="44"/>
  <c r="E36" i="44"/>
  <c r="E37" i="44"/>
  <c r="E40" i="44"/>
  <c r="E41" i="44"/>
  <c r="E42" i="44"/>
  <c r="E43" i="44"/>
  <c r="E44" i="44"/>
  <c r="E47" i="44"/>
  <c r="E48" i="44"/>
  <c r="E51" i="44"/>
  <c r="E52" i="44"/>
  <c r="E55" i="44"/>
  <c r="E56" i="44"/>
  <c r="E57" i="44"/>
  <c r="E58" i="44"/>
  <c r="E59" i="44"/>
  <c r="E60" i="44"/>
  <c r="E61" i="44"/>
  <c r="E64" i="44"/>
  <c r="E65" i="44"/>
  <c r="E66" i="44"/>
  <c r="E67" i="44"/>
  <c r="E68" i="44"/>
  <c r="E86" i="44"/>
  <c r="E87" i="44"/>
  <c r="E82" i="44"/>
  <c r="E83" i="44"/>
  <c r="E88" i="44"/>
  <c r="E71" i="44"/>
  <c r="E72" i="44"/>
  <c r="E73" i="44"/>
  <c r="E74" i="44"/>
  <c r="E76" i="44"/>
  <c r="E77" i="44"/>
  <c r="E78" i="44"/>
  <c r="E75" i="44"/>
  <c r="E79" i="44"/>
  <c r="E90" i="44"/>
  <c r="E80" i="44" l="1"/>
  <c r="E84" i="44"/>
  <c r="E91" i="44"/>
  <c r="E69" i="44"/>
  <c r="E45" i="44"/>
  <c r="E53" i="44"/>
  <c r="E38" i="44"/>
  <c r="E62" i="44"/>
  <c r="E49" i="44"/>
  <c r="J170" i="43" l="1"/>
  <c r="J168" i="43"/>
  <c r="J166" i="43"/>
  <c r="J167" i="43"/>
  <c r="J169" i="43"/>
  <c r="J165" i="43"/>
  <c r="J161" i="43"/>
  <c r="J157" i="43"/>
  <c r="J158" i="43"/>
  <c r="J159" i="43"/>
  <c r="J160" i="43"/>
  <c r="J156" i="43"/>
  <c r="J153" i="43"/>
  <c r="J162" i="43" l="1"/>
  <c r="J171" i="43"/>
  <c r="J137" i="43" l="1"/>
  <c r="J108" i="43" l="1"/>
  <c r="G123" i="43" s="1"/>
  <c r="J123" i="43" s="1"/>
  <c r="J109" i="43"/>
  <c r="G124" i="43" s="1"/>
  <c r="J124" i="43" s="1"/>
  <c r="J110" i="43"/>
  <c r="G125" i="43" s="1"/>
  <c r="J125" i="43" s="1"/>
  <c r="J107" i="43"/>
  <c r="J101" i="43"/>
  <c r="J116" i="43" s="1"/>
  <c r="J102" i="43"/>
  <c r="J117" i="43" s="1"/>
  <c r="J103" i="43"/>
  <c r="J118" i="43" s="1"/>
  <c r="J100" i="43"/>
  <c r="J115" i="43" s="1"/>
  <c r="J93" i="43"/>
  <c r="J62" i="43"/>
  <c r="J71" i="43"/>
  <c r="G74" i="43" s="1"/>
  <c r="J74" i="43" s="1"/>
  <c r="J70" i="43"/>
  <c r="J73" i="43" s="1"/>
  <c r="J63" i="43"/>
  <c r="J78" i="43" l="1"/>
  <c r="J77" i="43"/>
  <c r="J111" i="43"/>
  <c r="J119" i="43"/>
  <c r="G122" i="43"/>
  <c r="J122" i="43" s="1"/>
  <c r="J126" i="43" s="1"/>
  <c r="J104" i="43"/>
  <c r="J176" i="43" s="1"/>
  <c r="J65" i="43"/>
  <c r="J80" i="43" s="1"/>
  <c r="G66" i="43"/>
  <c r="J66" i="43" s="1"/>
  <c r="J81" i="43" s="1"/>
  <c r="J177" i="43" l="1"/>
  <c r="J179" i="43"/>
  <c r="J178" i="43"/>
  <c r="H114" i="42"/>
  <c r="I114" i="42" s="1"/>
  <c r="H108" i="42" l="1"/>
  <c r="I108" i="42" s="1"/>
  <c r="H106" i="42"/>
  <c r="I106" i="42" s="1"/>
  <c r="H107" i="42" l="1"/>
  <c r="I107" i="42" s="1"/>
  <c r="H113" i="42" l="1"/>
  <c r="I113" i="42" s="1"/>
  <c r="H112" i="42"/>
  <c r="I112" i="42" s="1"/>
  <c r="H102" i="42" l="1"/>
  <c r="I102" i="42" s="1"/>
  <c r="H100" i="42" l="1"/>
  <c r="I100" i="42" s="1"/>
  <c r="H101" i="42"/>
  <c r="I101" i="42" s="1"/>
  <c r="H103" i="42"/>
  <c r="I103" i="42" s="1"/>
  <c r="H104" i="42"/>
  <c r="I104" i="42" s="1"/>
  <c r="H105" i="42"/>
  <c r="I105" i="42" s="1"/>
  <c r="H99" i="42"/>
  <c r="I99" i="42" s="1"/>
  <c r="H96" i="42"/>
  <c r="I96" i="42" s="1"/>
  <c r="I97" i="42" s="1"/>
  <c r="N24" i="38" l="1"/>
  <c r="I126" i="42"/>
  <c r="J232" i="42" l="1"/>
  <c r="J30" i="42"/>
  <c r="G25" i="38"/>
  <c r="K25" i="38"/>
  <c r="I25" i="38"/>
  <c r="J129" i="42"/>
  <c r="J131" i="42"/>
  <c r="J128" i="42"/>
  <c r="J130" i="42"/>
  <c r="J132" i="42"/>
  <c r="J138" i="42"/>
  <c r="N26" i="38"/>
  <c r="J136" i="42"/>
  <c r="J134" i="42"/>
  <c r="J22" i="42"/>
  <c r="J228" i="42"/>
  <c r="J231" i="42"/>
  <c r="J229" i="42"/>
  <c r="J153" i="42"/>
  <c r="J219" i="42"/>
  <c r="J220" i="42"/>
  <c r="J212" i="42"/>
  <c r="J225" i="42"/>
  <c r="J211" i="42"/>
  <c r="J205" i="42"/>
  <c r="J215" i="42"/>
  <c r="J202" i="42"/>
  <c r="J203" i="42"/>
  <c r="J191" i="42"/>
  <c r="J187" i="42"/>
  <c r="J192" i="42"/>
  <c r="J197" i="42"/>
  <c r="J183" i="42"/>
  <c r="J184" i="42"/>
  <c r="J169" i="42"/>
  <c r="J163" i="42"/>
  <c r="J162" i="42"/>
  <c r="J156" i="42"/>
  <c r="J159" i="42"/>
  <c r="J161" i="42"/>
  <c r="J168" i="42"/>
  <c r="J165" i="42"/>
  <c r="J157" i="42"/>
  <c r="J167" i="42"/>
  <c r="J175" i="42"/>
  <c r="J174" i="42"/>
  <c r="J179" i="42"/>
  <c r="J177" i="42"/>
  <c r="J181" i="42"/>
  <c r="J180" i="42"/>
  <c r="J151" i="42"/>
  <c r="J149" i="42"/>
  <c r="J148" i="42"/>
  <c r="J145" i="42"/>
  <c r="J142" i="42"/>
  <c r="J143" i="42"/>
  <c r="J141" i="42"/>
  <c r="J54" i="42"/>
  <c r="J53" i="42"/>
  <c r="J52" i="42"/>
  <c r="J77" i="42"/>
  <c r="J51" i="42"/>
  <c r="J115" i="42"/>
  <c r="J118" i="42"/>
  <c r="J119" i="42"/>
  <c r="J120" i="42"/>
  <c r="J122" i="42"/>
  <c r="J55" i="42"/>
  <c r="J116" i="42"/>
  <c r="J124" i="42"/>
  <c r="J123" i="42"/>
  <c r="J110" i="42"/>
  <c r="J111" i="42"/>
  <c r="J94" i="42"/>
  <c r="J93" i="42"/>
  <c r="J92" i="42"/>
  <c r="J89" i="42"/>
  <c r="J90" i="42"/>
  <c r="J87" i="42"/>
  <c r="J85" i="42"/>
  <c r="J88" i="42"/>
  <c r="J75" i="42"/>
  <c r="J73" i="42"/>
  <c r="J80" i="42"/>
  <c r="J72" i="42"/>
  <c r="J74" i="42"/>
  <c r="J97" i="42"/>
  <c r="J59" i="42"/>
  <c r="J60" i="42"/>
  <c r="J58" i="42"/>
  <c r="J70" i="42"/>
  <c r="J64" i="42"/>
  <c r="J67" i="42"/>
  <c r="J62" i="42"/>
  <c r="J66" i="42"/>
  <c r="J71" i="42"/>
  <c r="J68" i="42"/>
  <c r="J63" i="42"/>
  <c r="J36" i="42"/>
  <c r="J82" i="42"/>
  <c r="J34" i="42"/>
  <c r="J44" i="42"/>
  <c r="J46" i="42"/>
  <c r="J37" i="42"/>
  <c r="J35" i="42"/>
  <c r="J29" i="42"/>
  <c r="J47" i="42"/>
  <c r="J40" i="42"/>
  <c r="J45" i="42"/>
  <c r="J48" i="42"/>
  <c r="J43" i="42"/>
  <c r="J41" i="42"/>
  <c r="J26" i="42"/>
  <c r="J27" i="42"/>
  <c r="J28" i="42"/>
  <c r="J24" i="42"/>
  <c r="J114" i="42"/>
  <c r="J106" i="42"/>
  <c r="J108" i="42"/>
  <c r="J112" i="42"/>
  <c r="J113" i="42"/>
  <c r="J102" i="42"/>
  <c r="J105" i="42"/>
  <c r="J103" i="42"/>
  <c r="J101" i="42"/>
  <c r="J99" i="42"/>
  <c r="J100" i="42"/>
  <c r="O25" i="38" l="1"/>
  <c r="M27" i="38"/>
  <c r="K27" i="38"/>
  <c r="K50" i="38" s="1"/>
  <c r="I27" i="38"/>
  <c r="I50" i="38" s="1"/>
  <c r="H53" i="38" s="1"/>
  <c r="G27" i="38"/>
  <c r="J104" i="42"/>
  <c r="J96" i="42"/>
  <c r="J107" i="42"/>
  <c r="J32" i="42"/>
  <c r="J49" i="42"/>
  <c r="J42" i="42"/>
  <c r="J38" i="42"/>
  <c r="J31" i="42"/>
  <c r="J39" i="42"/>
  <c r="J57" i="42"/>
  <c r="J69" i="42"/>
  <c r="J61" i="42"/>
  <c r="J65" i="42"/>
  <c r="J79" i="42"/>
  <c r="J81" i="42"/>
  <c r="J86" i="42"/>
  <c r="J91" i="42"/>
  <c r="J95" i="42"/>
  <c r="J109" i="42"/>
  <c r="J121" i="42"/>
  <c r="J125" i="42"/>
  <c r="J117" i="42"/>
  <c r="J170" i="42"/>
  <c r="J140" i="42"/>
  <c r="J146" i="42"/>
  <c r="J147" i="42"/>
  <c r="J176" i="42"/>
  <c r="J158" i="42"/>
  <c r="J166" i="42"/>
  <c r="J155" i="42"/>
  <c r="J164" i="42"/>
  <c r="J194" i="42"/>
  <c r="J188" i="42"/>
  <c r="J201" i="42"/>
  <c r="J213" i="42"/>
  <c r="J221" i="42"/>
  <c r="J227" i="42"/>
  <c r="J23" i="42"/>
  <c r="J152" i="42"/>
  <c r="J126" i="42"/>
  <c r="J193" i="42"/>
  <c r="J186" i="42"/>
  <c r="J199" i="42"/>
  <c r="J210" i="42"/>
  <c r="J224" i="42"/>
  <c r="J76" i="42"/>
  <c r="J20" i="42"/>
  <c r="J135" i="42"/>
  <c r="J137" i="42"/>
  <c r="J196" i="42"/>
  <c r="J200" i="42"/>
  <c r="J208" i="42"/>
  <c r="J206" i="42"/>
  <c r="J214" i="42"/>
  <c r="J218" i="42"/>
  <c r="J223" i="42"/>
  <c r="J230" i="42"/>
  <c r="J233" i="42"/>
  <c r="J21" i="42"/>
  <c r="O27" i="38" l="1"/>
  <c r="O50" i="38" s="1"/>
  <c r="G50" i="38"/>
  <c r="F53" i="38" s="1"/>
  <c r="M50" i="38"/>
  <c r="L53" i="38" s="1"/>
  <c r="N50" i="38" l="1"/>
  <c r="D28" i="38" s="1"/>
  <c r="J53" i="38"/>
  <c r="F50" i="38" l="1"/>
  <c r="F52" i="38" s="1"/>
  <c r="D46" i="38"/>
  <c r="D44" i="38"/>
  <c r="D42" i="38"/>
  <c r="H50" i="38"/>
  <c r="H52" i="38" s="1"/>
  <c r="D36" i="38"/>
  <c r="D14" i="38"/>
  <c r="D26" i="38"/>
  <c r="J50" i="38"/>
  <c r="J52" i="38" s="1"/>
  <c r="D34" i="38"/>
  <c r="D32" i="38"/>
  <c r="D16" i="38"/>
  <c r="D48" i="38"/>
  <c r="L50" i="38"/>
  <c r="L52" i="38" s="1"/>
  <c r="D22" i="38"/>
  <c r="D24" i="38"/>
  <c r="D20" i="38"/>
  <c r="D18" i="38"/>
  <c r="D38" i="38"/>
  <c r="D30" i="38"/>
  <c r="D40" i="38"/>
  <c r="F54" i="38" l="1"/>
  <c r="H54" i="38" l="1"/>
  <c r="J54" i="38" l="1"/>
  <c r="L54" i="38" s="1"/>
  <c r="D50" i="38" l="1"/>
  <c r="F55" i="38"/>
  <c r="H55" i="38" s="1"/>
  <c r="J55" i="38" l="1"/>
  <c r="L55" i="38" s="1"/>
  <c r="J189" i="42"/>
</calcChain>
</file>

<file path=xl/sharedStrings.xml><?xml version="1.0" encoding="utf-8"?>
<sst xmlns="http://schemas.openxmlformats.org/spreadsheetml/2006/main" count="5085" uniqueCount="1628">
  <si>
    <t>ITEM</t>
  </si>
  <si>
    <t>DESCRIÇÃO</t>
  </si>
  <si>
    <t>UNID</t>
  </si>
  <si>
    <t>QUANT.</t>
  </si>
  <si>
    <t>P.TOTAL</t>
  </si>
  <si>
    <t>%</t>
  </si>
  <si>
    <t>%  DO TOTAL</t>
  </si>
  <si>
    <t>P.UNIT.</t>
  </si>
  <si>
    <t>Prefeitura Municipal de Barra Mansa</t>
  </si>
  <si>
    <t xml:space="preserve">Secretaria Municipal de Planejamento Urbano </t>
  </si>
  <si>
    <t>PLANILHA  ORCAMENTÁRIA</t>
  </si>
  <si>
    <t>SINAPI / EMOP</t>
  </si>
  <si>
    <t>Estado do Rio de Janeiro</t>
  </si>
  <si>
    <t>Preço UNIT.</t>
  </si>
  <si>
    <t xml:space="preserve"> TOTAL </t>
  </si>
  <si>
    <t>BDI</t>
  </si>
  <si>
    <t>M2</t>
  </si>
  <si>
    <t>SUBTOTAL</t>
  </si>
  <si>
    <t>M</t>
  </si>
  <si>
    <t>M3</t>
  </si>
  <si>
    <t>CARGA MANUAL DE ENTULHO EM CAMINHAO BASCULANTE 6 M3</t>
  </si>
  <si>
    <t>M3XKM</t>
  </si>
  <si>
    <t>UN</t>
  </si>
  <si>
    <t>KG</t>
  </si>
  <si>
    <t>PINTURA</t>
  </si>
  <si>
    <t>SERVIÇOS COMPLEMENTARES</t>
  </si>
  <si>
    <t>00453</t>
  </si>
  <si>
    <t>PREGO COM OU SEM CABECA, EM CAIXAS DE 50KG, OU QUANTIDADES EQUIVALENTES, N§12X12A 18X30</t>
  </si>
  <si>
    <t>00368</t>
  </si>
  <si>
    <t>PINUS, EM PECAS DE 7,50X7,50CM (3"X3")</t>
  </si>
  <si>
    <t>00294</t>
  </si>
  <si>
    <t>TINTA A OLEO BRILHANTE, P/USO GERAL, EMINTERIORES E EXTERIORES</t>
  </si>
  <si>
    <t>GL</t>
  </si>
  <si>
    <t>00160</t>
  </si>
  <si>
    <t>CHAPA DE ACO CARBONO, GALVANIZADA, PARAUSOS GERAIS, TAMANHO PADRAO, PRECO DE REVENDEDOR, COM ESPESSURA DE 0,5MM</t>
  </si>
  <si>
    <t>01999</t>
  </si>
  <si>
    <t>MAO-DE-OBRA DE SERVENTE DA CONSTRUCAO CIVIL, INCLUSIVE ENCARGOS SOCIAIS</t>
  </si>
  <si>
    <t>H</t>
  </si>
  <si>
    <t>TOTAL</t>
  </si>
  <si>
    <t>SERVENTE COM ENCARGOS COMPLEMENTARES</t>
  </si>
  <si>
    <t>CHI</t>
  </si>
  <si>
    <t>CHP</t>
  </si>
  <si>
    <t>L</t>
  </si>
  <si>
    <t>00559</t>
  </si>
  <si>
    <t>TIJOLO CERAMICO, FURADO, DE (10X20X20)CM</t>
  </si>
  <si>
    <t>02339</t>
  </si>
  <si>
    <t>ADESIVO PLASTICO PARA PVC RIGIDO, EM BISNAGA DE 75G</t>
  </si>
  <si>
    <t>PEDREIRO COM ENCARGOS COMPLEMENTARES</t>
  </si>
  <si>
    <t>DISJUNTOR TIPO DIN/IEC, BIPOLAR DE 6 ATE 32A</t>
  </si>
  <si>
    <t>ELETRICISTA COM ENCARGOS COMPLEMENTARES</t>
  </si>
  <si>
    <t>AUXILIAR DE ELETRICISTA COM ENCARGOS COMPLEMENTARES</t>
  </si>
  <si>
    <t>Mercado</t>
  </si>
  <si>
    <t>02984</t>
  </si>
  <si>
    <t>RABICHO PLASTICO COM SAIDA DE 1/2" E COMCOMPRIMENTO DE 30CM</t>
  </si>
  <si>
    <t>00150</t>
  </si>
  <si>
    <t>CIMENTO BRANCO</t>
  </si>
  <si>
    <t>PINTOR COM ENCARGOS COMPLEMENTARES</t>
  </si>
  <si>
    <t>DESMOLDANTE PROTETOR PARA FORMAS DE MADEIRA, DE BASE OLEOSA EMULSIONADA EM AGUA</t>
  </si>
  <si>
    <t>CHAPISCO APLICADO EM ALVENARIAS E ESTRUTURAS DE CONCRETO INTERNAS, COM COLHER DE PEDREIRO.  ARGAMASSA TRAÇO 1:3 COM PREPARO EM BETONEIRA 400L. AF_06/2014</t>
  </si>
  <si>
    <t>20132</t>
  </si>
  <si>
    <t>MAO-DE-OBRA DE SERVENTE DA CONSTRUCAO CIVIL, INCLUSIVE ENCARGOS SOCIAIS DESONERADOS</t>
  </si>
  <si>
    <t>20115</t>
  </si>
  <si>
    <t>MAO-DE-OBRA DE PEDREIRO, INCLUSIVE ENCARGOS SOCIAIS DESONERADOS</t>
  </si>
  <si>
    <t>Projeto :</t>
  </si>
  <si>
    <t>Orçamento :</t>
  </si>
  <si>
    <t>Aprovação :</t>
  </si>
  <si>
    <t>INSTALAÇÕES ELÉTRICAS</t>
  </si>
  <si>
    <t>AJUDANTE DE CARPINTEIRO COM ENCARGOS COMPLEMENTARES</t>
  </si>
  <si>
    <t>DISJUNTOR TIPO DIN/IEC, TRIPOLAR DE 10 ATE 50A</t>
  </si>
  <si>
    <t>Engº Eros dos Santos</t>
  </si>
  <si>
    <t>CRONOGRAMA  FÍSICO-FINANCEIRO</t>
  </si>
  <si>
    <t>SERVIÇO</t>
  </si>
  <si>
    <t xml:space="preserve">Desembolso </t>
  </si>
  <si>
    <t>Físico</t>
  </si>
  <si>
    <t>1º Mês</t>
  </si>
  <si>
    <t>2º Mês</t>
  </si>
  <si>
    <t>3º Mês</t>
  </si>
  <si>
    <t>4º Mês</t>
  </si>
  <si>
    <t>Financeiro</t>
  </si>
  <si>
    <t>Financ.</t>
  </si>
  <si>
    <t>R$</t>
  </si>
  <si>
    <t>TOTAL  ACUMULADO</t>
  </si>
  <si>
    <t>Orç. Nº</t>
  </si>
  <si>
    <t>Data</t>
  </si>
  <si>
    <t>Rev. Nº</t>
  </si>
  <si>
    <t>02617</t>
  </si>
  <si>
    <t>TUBO DE PVC RIGIDO, PONTA/BOLSA COM VIROLA, EM BARRAS DE 6,00M, DE 100MM</t>
  </si>
  <si>
    <t>02615</t>
  </si>
  <si>
    <t>TUBO DE PVC RIGIDO, PONTA/BOLSA COM VIROLA, EM BARRAS DE 6,00M, DE 050MM</t>
  </si>
  <si>
    <t>1</t>
  </si>
  <si>
    <t>1.1</t>
  </si>
  <si>
    <t>1.2</t>
  </si>
  <si>
    <t>1.3</t>
  </si>
  <si>
    <t>1.4</t>
  </si>
  <si>
    <t>1.5</t>
  </si>
  <si>
    <t>CABO DE COBRE FLEXÍVEL ISOLADO, 4 MM², ANTI-CHAMA 450/750 V, PARA CIRCUITOS TERMINAIS - FORNECIMENTO E INSTALAÇÃO. AF_12/2015</t>
  </si>
  <si>
    <t xml:space="preserve">Mercado </t>
  </si>
  <si>
    <t>TRANSPORTE COM CAMINHÃO BASCULANTE DE 6 M3, EM VIA URBANA PAVIMENTADA, DMT ATÉ 30 KM (UNIDADE: M3XKM). AF_01/2018</t>
  </si>
  <si>
    <t>3</t>
  </si>
  <si>
    <t>4</t>
  </si>
  <si>
    <t>5</t>
  </si>
  <si>
    <t>7</t>
  </si>
  <si>
    <t>8</t>
  </si>
  <si>
    <t>02317</t>
  </si>
  <si>
    <t>FITA ISOLANTE, ROLO DE 19MMX20M</t>
  </si>
  <si>
    <t>02616</t>
  </si>
  <si>
    <t>TUBO DE PVC RIGIDO, PONTA/BOLSA COM VIROLA, EM BARRAS DE 6,00M, DE 75MM</t>
  </si>
  <si>
    <t>9</t>
  </si>
  <si>
    <t>10</t>
  </si>
  <si>
    <t>11</t>
  </si>
  <si>
    <t>12</t>
  </si>
  <si>
    <t>00149</t>
  </si>
  <si>
    <t>00001</t>
  </si>
  <si>
    <t>AREIA LAVADA, GROSSA, PARA REGIAO METROPOLITANA DO RIO DE JANEIRO</t>
  </si>
  <si>
    <t>00408</t>
  </si>
  <si>
    <t>GRANA DE MARMORE BRANCO NACIONAL, N§1, P/MARMORITE</t>
  </si>
  <si>
    <t>00316</t>
  </si>
  <si>
    <t>JUNTA PLASTICA, P/PISO, ALTURA DE 17MM,E C/ESPES. DE 3MM</t>
  </si>
  <si>
    <t>LIXA EM FOLHA PARA PAREDE OU MADEIRA, NUMERO 120 (COR VERMELHA)</t>
  </si>
  <si>
    <t>P.UNIT. (c/BDI)</t>
  </si>
  <si>
    <t>TOTAL POR MÊS</t>
  </si>
  <si>
    <t>Engº João Vitor da Silva Ramos (CREA 2018106463)</t>
  </si>
  <si>
    <t>DISJUNTOR BIPOLAR TIPO DIN, CORRENTE NOMINAL DE 16A - FORNECIMENTO E INSTALAÇÃO. AF_04/2016</t>
  </si>
  <si>
    <t>TERMINAL A COMPRESSAO EM COBRE ESTANHADO PARA CABO 16 MM2, 1 FURO E 1 COMPRESSAO, PARA PARAFUSO DE FIXACAO M6</t>
  </si>
  <si>
    <t>05265</t>
  </si>
  <si>
    <t>ARMACAO SECUNDARIA, COMPLETA, PARA 3 LINHAS</t>
  </si>
  <si>
    <t>00116</t>
  </si>
  <si>
    <t>00289</t>
  </si>
  <si>
    <t>CABO SOLIDO DE COBRE ELETROLITICO NU, TEMPERA MOLE, CLASSE 2, SECAO CIRCULAR DE10,0 A 500,0MM2</t>
  </si>
  <si>
    <t>02341</t>
  </si>
  <si>
    <t>02643</t>
  </si>
  <si>
    <t>02961</t>
  </si>
  <si>
    <t>03968</t>
  </si>
  <si>
    <t>00115</t>
  </si>
  <si>
    <t>04210</t>
  </si>
  <si>
    <t>ISOLADOR TIPO CARRETILHA, MARROM, DE (72X72)MM</t>
  </si>
  <si>
    <t>08019</t>
  </si>
  <si>
    <t>CONECTOR PARAFUSO FENDIDO, TIPO SPLIT BOLT, FABRICADO EM COBRE, PARA CABO DE 010MM2</t>
  </si>
  <si>
    <t>11922</t>
  </si>
  <si>
    <t>CAIXA TRANSPARENTE PARA MEDICAO DIRETA(CTM), PARA ENTRADA DE ENERGIA INDIVIDUAL, PADRAO LIGHT</t>
  </si>
  <si>
    <t>11923</t>
  </si>
  <si>
    <t>CAIXA DISJUSTOR MONOPOLAR (CDJ1) INTERNA, PARA ENTRADA DE ENERGIA INDIVIDUAL PADRAO LIGHT</t>
  </si>
  <si>
    <t>03977</t>
  </si>
  <si>
    <t>HASTE TERRA, TIPO CANTONEIRA GALVANIZADA, DE 2,00M</t>
  </si>
  <si>
    <t>02346</t>
  </si>
  <si>
    <t>CAIXA POLIMÉRICA POLIFÁSICA  CM3</t>
  </si>
  <si>
    <t>11925</t>
  </si>
  <si>
    <t>CAIXA DE DISJUNTORES TRIFASICO (CDJ3) INTERNA, PARA ENTRADA DE ENERGIA INDIVIDUAL, PADRAO LIGHT</t>
  </si>
  <si>
    <t>Obra : USF - CREMEB - ANO BOM</t>
  </si>
  <si>
    <t>Local : Av. Tenente José Eduardo, nº 200 - Ano Bom - Barra Mansa - RJ</t>
  </si>
  <si>
    <t>00</t>
  </si>
  <si>
    <t>APARELHIOS SANITÁRIOS E METAIS</t>
  </si>
  <si>
    <t>So000091926</t>
  </si>
  <si>
    <t>01983</t>
  </si>
  <si>
    <t>MAO-DE-OBRA DE ELETRICISTA DE CONSTRUCAOCIVIL, INCLUSIVE ENCARGOS SOCIAIS</t>
  </si>
  <si>
    <t>So000097605</t>
  </si>
  <si>
    <t>LUMINÁRIA ARANDELA TIPO MEIA-LUA, PARA 1 LÂMPADA LED - FORNECIMENTO E INSTALAÇÃO. AF_11/2017</t>
  </si>
  <si>
    <t>LUMINARIA ARANDELA TIPO MEIA-LUA COM VIDRO FOSCO *30 X 15* CM, PARA 1 LAMPADA, BASE E27, POTENCIA MAXIMA 40/60 W (NAO INCLUI LAMPADA)</t>
  </si>
  <si>
    <t>LAMPADA LED 6 W BIVOLT BRANCA, FORMATO TRADICIONAL (BASE E27)</t>
  </si>
  <si>
    <t>DISJUNTOR TIPO DIN/IEC, MONOPOLAR DE 6  ATE  32A</t>
  </si>
  <si>
    <t>TERMINAL A COMPRESSAO EM COBRE ESTANHADO PARA CABO 4 MM2, 1 FURO E 1 COMPRESSAO, PARA PARAFUSO DE FIXACAO M5</t>
  </si>
  <si>
    <t>DISJUNTOR MONOPOLAR TIPO DIN, CORRENTE NOMINAL DE 32A - FORNECIMENTO E INSTALAÇÃO. AF_04/2016</t>
  </si>
  <si>
    <t>TERMINAL A COMPRESSAO EM COBRE ESTANHADO PARA CABO 6 MM2, 1 FURO E 1 COMPRESSAO, PARA PARAFUSO DE FIXACAO M6</t>
  </si>
  <si>
    <t>So000093661</t>
  </si>
  <si>
    <t>So000093662</t>
  </si>
  <si>
    <t>DISJUNTOR BIPOLAR TIPO DIN, CORRENTE NOMINAL DE 20A - FORNECIMENTO E INSTALAÇÃO. AF_04/2016</t>
  </si>
  <si>
    <t>So000093664</t>
  </si>
  <si>
    <t>DISJUNTOR BIPOLAR TIPO DIN, CORRENTE NOMINAL DE 32A - FORNECIMENTO E INSTALAÇÃO. AF_04/2016</t>
  </si>
  <si>
    <t>TERMINAL A COMPRESSAO EM COBRE ESTANHADO PARA CABO 10 MM2, 1 FURO E 1 COMPRESSAO, PARA PARAFUSO DE FIXACAO M6</t>
  </si>
  <si>
    <t>So74131/005</t>
  </si>
  <si>
    <t>QUADRO DE DISTRIBUICAO COM BARRAMENTO TRIFASICO, DE EMBUTIR, EM CHAPA DE ACO GALVANIZADO, PARA 24 DISJUNTORES DIN, 100 A</t>
  </si>
  <si>
    <t>So74131/006</t>
  </si>
  <si>
    <t>QUADRO DE DISTRIBUICAO COM BARRAMENTO TRIFASICO, DE EMBUTIR, EM CHAPA DE ACO GALVANIZADO, PARA 30 DISJUNTORES DIN, 150 A</t>
  </si>
  <si>
    <t>Arqª Rosália Reis (CAU : A92800-3)</t>
  </si>
  <si>
    <t>CABO DE COBRE FLEXÍVEL ISOLADO, 2,5 MM², ANTI-CHAMA 450/750 V, PARA CIRCUITOS TERMINAIS - FORNECIMENTO E INSTALAÇÃO. AF_12/2015</t>
  </si>
  <si>
    <t>So000091854</t>
  </si>
  <si>
    <t>ELETRODUTO FLEXÍVEL CORRUGADO, PVC, DN 25 MM (3/4"), PARA CIRCUITOS TERMINAIS, INSTALADO EM PAREDE - FORNECIMENTO E INSTALAÇÃO. AF_12/2015</t>
  </si>
  <si>
    <t>So000091844</t>
  </si>
  <si>
    <t>ELETRODUTO FLEXÍVEL CORRUGADO, PVC, DN 25 MM (3/4"), PARA CIRCUITOS TERMINAIS, INSTALADO EM LAJE - FORNECIMENTO E INSTALAÇÃO. AF_12/2015</t>
  </si>
  <si>
    <t>Composição : So000093128</t>
  </si>
  <si>
    <t>So000091928</t>
  </si>
  <si>
    <t>Composição : So000093144</t>
  </si>
  <si>
    <t>Composição : So000093655 e So000093657</t>
  </si>
  <si>
    <t>DISJUNTOR MONOPOLAR TIPO DIN, CORRENTE NOMINAL DE 20A a 30A - FORNECIMENTO E INSTALAÇÃO. AF_04/2016</t>
  </si>
  <si>
    <t>So000093672</t>
  </si>
  <si>
    <t>DISJUNTOR TRIPOLAR TIPO DIN, CORRENTE NOMINAL DE 40A - FORNECIMENTO E INSTALAÇÃO. AF_04/2016</t>
  </si>
  <si>
    <t>01648</t>
  </si>
  <si>
    <t>12.003.0075-1 ALVENARIA TIJ. FURADO 10X20X20CM</t>
  </si>
  <si>
    <t>01605</t>
  </si>
  <si>
    <t>07.002.0025-1 ARGAMASSA CIM.,AREIA TRACO 1:3,PREPAROMECANICO</t>
  </si>
  <si>
    <t>Composição : 15.011.0021-0</t>
  </si>
  <si>
    <t>!EM PROCESSO DE DESATIVACAO! HASTE DE ATERRAMENTO EM ACO COM 3,00 M DE COMPRIMENTO E DN = 5/8", REVESTIDA COM BAIXA CAMADA DE COBRE, SEM CONECTOR</t>
  </si>
  <si>
    <t>15.008.0110-0</t>
  </si>
  <si>
    <t>02362</t>
  </si>
  <si>
    <t>CABO COM ISOLAMENTO TERMOPLASTICO, DE 075V, 025MM2</t>
  </si>
  <si>
    <t>15.008.0105-0</t>
  </si>
  <si>
    <t>00282</t>
  </si>
  <si>
    <t>CABO COM ISOLAMENTO TERMOPLASTICO, DE 0750V, DE 016MM2</t>
  </si>
  <si>
    <t>15.008.0100-0</t>
  </si>
  <si>
    <t>05710</t>
  </si>
  <si>
    <t>CABO DE ISOLAMENTO TERMOPLASTICO, DE 0750V, DE 010MM2</t>
  </si>
  <si>
    <t>15.008.0095-0</t>
  </si>
  <si>
    <t>05709</t>
  </si>
  <si>
    <t>CABO COM ISOLAMENTO TERMOPLASTICO, DE 0750V, DE 006MM2</t>
  </si>
  <si>
    <t xml:space="preserve">SEM  DESONERAÇÃO </t>
  </si>
  <si>
    <t>2</t>
  </si>
  <si>
    <t>6</t>
  </si>
  <si>
    <t>18</t>
  </si>
  <si>
    <t>ESGOTO SANITÁRIO</t>
  </si>
  <si>
    <t>01993</t>
  </si>
  <si>
    <t>MAO-DE-OBRA DE BOMBEIRO HIDRAULICO DA CONSTRUCAO CIVIL, INCLUSIVE ENCARGOS SOCIAIS</t>
  </si>
  <si>
    <t>02614</t>
  </si>
  <si>
    <t>TUBO DE PVC RIGIDO SOLDAVEL, PONTA/BOLSA, PARA ESGOTO, EM BARRAS DE 6,00M, DE 040MM</t>
  </si>
  <si>
    <t>CAIXA SIFONADA PVC, 150 X 150 X 50 MM, COM GRELHA QUADRADA BRANCA (NBR 5688)</t>
  </si>
  <si>
    <t xml:space="preserve">INSTALAÇÕES SANITÁRIAS </t>
  </si>
  <si>
    <t>CAIXA SIFONADA PVC, 150 X 185 X 75 MM, COM GRELHA QUADRADA BRANCA</t>
  </si>
  <si>
    <t>LIXA D'AGUA EM FOLHA, GRAO 100</t>
  </si>
  <si>
    <t>So20085</t>
  </si>
  <si>
    <t>ANEL BORRACHA, DN 50 MM, PARA TUBO SERIE REFORCADA ESGOTO PREDIAL</t>
  </si>
  <si>
    <t>SOLUCAO LIMPADORA PARA PVC, FRASCO COM 1000 CM3</t>
  </si>
  <si>
    <t>PASTA LUBRIFICANTE PARA TUBOS E CONEXOES COM JUNTA ELASTICA (USO EM PVC, ACO, POLIETILENO E OUTROS) ( DE *400* G)</t>
  </si>
  <si>
    <t>CAIXA SIFONADA PVC, 100 X 100 X 50 MM, COM GRELHA REDONDA BRANCA</t>
  </si>
  <si>
    <t>So00122</t>
  </si>
  <si>
    <t>ADESIVO PLASTICO PARA PVC, FRASCO COM 850 GR</t>
  </si>
  <si>
    <t>ENCANADOR OU BOMBEIRO HIDRÁULICO COM ENCARGOS COMPLEMENTARES</t>
  </si>
  <si>
    <t>AUXILIAR DE ENCANADOR OU BOMBEIRO HIDRÁULICO COM ENCARGOS COMPLEMENTARES</t>
  </si>
  <si>
    <t>So11714</t>
  </si>
  <si>
    <t>So00297</t>
  </si>
  <si>
    <t>ANEL BORRACHA PARA TUBO ESGOTO PREDIAL DN 75 MM (NBR 5688)</t>
  </si>
  <si>
    <t>00296</t>
  </si>
  <si>
    <t>ANEL BORRACHA PARA TUBO ESGOTO PREDIAL DN 50 MM (NBR 5688)</t>
  </si>
  <si>
    <t>Composição : So000089482</t>
  </si>
  <si>
    <t>18.013.0165-0</t>
  </si>
  <si>
    <t>GRELHA DE ACO INOX,10X10CM,SISTEMA ROTATIVO,COM CAIXILHO.FORNECIMENTO</t>
  </si>
  <si>
    <t>13114</t>
  </si>
  <si>
    <t>GRELHA DE ACO INOXIDAVEL, 10X10CM, SISTEMA ROTATIVO, COM CAIXILHO</t>
  </si>
  <si>
    <t>GRELHA DE ACO INOXIDAVEL, 15X15CM, SISTEMA ROTATIVO, COM CAIXILHO</t>
  </si>
  <si>
    <t>Aprox. R$ com 50%</t>
  </si>
  <si>
    <t>So000098102</t>
  </si>
  <si>
    <t>CAIXA DE GORDURA SIMPLES, CIRCULAR, EM CONCRETO PRÉ-MOLDADO, DIÂMETRO INTERNO = 0,4 M, ALTURA INTERNA = 0,4 M. AF_05/2018</t>
  </si>
  <si>
    <t>CAIXA GORDURA, SIMPLES, CONCRETO PRE MOLDADO, CIRCULAR, COM TAMPA, D = 40 CM</t>
  </si>
  <si>
    <t>TIJOLO CERAMICO MACICO *5 X 10 X 20* CM</t>
  </si>
  <si>
    <t>TAMPA CIRCULAR PARA ESGOTO E DRENAGEM, EM FERRO FUNDIDO, DIÂMETRO INTERNO = 0,6 M. AF_05/2018</t>
  </si>
  <si>
    <t>TAMPAO FOFO ARTICULADO, CLASSE B125 CARGA MAX 12,5 T, REDONDO TAMPA 600 MM, REDE PLUVIAL/ESGOTO</t>
  </si>
  <si>
    <t>05694</t>
  </si>
  <si>
    <t>TUBO DE PVC RIGIDO SOLDAVEL, PONTA/BOLSA, EM BARRAS DE 6,00M, DE 050MM</t>
  </si>
  <si>
    <t>05692</t>
  </si>
  <si>
    <t>TUBO DE PVC RIGIDO SOLDAVEL, PONTA/BOLSA, EM BARRAS DE 6,00M, DE 032MM</t>
  </si>
  <si>
    <t>05031</t>
  </si>
  <si>
    <t>TUBO DE PVC RIGIDO SOLDAVEL, PONTA/BOLSAC/VIROLA, EM BARRAS DE 6,00M, DE 025MM</t>
  </si>
  <si>
    <t>JOELHO PVC, SOLDAVEL, 90 GRAUS, 50 MM, PARA AGUA FRIA PREDIAL</t>
  </si>
  <si>
    <t>JOELHO PVC, SOLDAVEL, 90 GRAUS, 32 MM, PARA AGUA FRIA PREDIAL</t>
  </si>
  <si>
    <t>JOELHO PVC, SOLDAVEL, 90 GRAUS, 25 MM, PARA AGUA FRIA PREDIAL</t>
  </si>
  <si>
    <t>So000089400</t>
  </si>
  <si>
    <t>TÊ DE REDUÇÃO, PVC, SOLDÁVEL, DN 32MM X 25MM, INSTALADO EM RAMAL OU SUB-RAMAL DE ÁGUA - FORNECIMENTO E INSTALAÇÃO. AF_12/2014</t>
  </si>
  <si>
    <t>TE DE REDUCAO, PVC, SOLDAVEL, 90 GRAUS, 32 MM X 25 MM, PARA AGUA FRIA PREDIAL</t>
  </si>
  <si>
    <t>ADAPTADOR COM FLANGES LIVRES, PVC, SOLDÁVEL, DN 50 MM X 1 1/2 , INSTALADO EM RESERVAÇÃO DE ÁGUA DE EDIFICAÇÃO QUE POSSUA RESERVATÓRIO DE FIBRA/FIBROCIMENTO   FORNECIMENTO E INSTALAÇÃO. AF_06/2016</t>
  </si>
  <si>
    <t>ADESIVO PLASTICO PARA PVC, FRASCO COM 175 GR</t>
  </si>
  <si>
    <t>ADAPTADOR PVC SOLDAVEL, COM FLANGES LIVRES, 50 MM X 1  1/2", PARA CAIXA D' AGUA</t>
  </si>
  <si>
    <t>So000094662</t>
  </si>
  <si>
    <t>ADAPTADOR CURTO COM BOLSA E ROSCA PARA REGISTRO, PVC, SOLDÁVEL, DN 50 MM X 1 1/2 , INSTALADO EM RESERVAÇÃO DE ÁGUA DE EDIFICAÇÃO QUE POSSUA RESERVATÓRIO DE FIBRA/FIBROCIMENTO   FORNECIMENTO E INSTALAÇÃO. AF_06/2016</t>
  </si>
  <si>
    <t>ADAPTADOR PVC SOLDAVEL CURTO COM BOLSA E ROSCA, 50 MM X1 1/2", PARA AGUA FRIA</t>
  </si>
  <si>
    <t>So000094497</t>
  </si>
  <si>
    <t>REGISTRO DE GAVETA BRUTO, LATÃO, ROSCÁVEL, 1 1/2, INSTALADO EM RESERVAÇÃO DE ÁGUA DE EDIFICAÇÃO QUE POSSUA RESERVATÓRIO DE FIBRA/FIBROCIMENTO  FORNECIMENTO E INSTALAÇÃO. AF_06/2016</t>
  </si>
  <si>
    <t>REGISTRO GAVETA BRUTO EM LATAO FORJADO, BITOLA 1 1/2 " (REF 1509)</t>
  </si>
  <si>
    <t>FITA VEDA ROSCA EM ROLOS DE 18 MM X 50 M (L X C)</t>
  </si>
  <si>
    <t>05030</t>
  </si>
  <si>
    <t>TUBO DE PVC RIGIDO SOLDAVEL, PONTA/BOLSAC/VIROLA, EM BARRAS DE 6,00M, DE 020MM</t>
  </si>
  <si>
    <t>TE SOLDAVEL, PVC, 90 GRAUS, 25 MM, PARA AGUA FRIA PREDIAL (NBR 5648)</t>
  </si>
  <si>
    <t>TE DE REDUCAO, PVC, SOLDAVEL, 90 GRAUS, 25 MM X 20 MM, PARA AGUA FRIA PREDIAL</t>
  </si>
  <si>
    <t>05736</t>
  </si>
  <si>
    <t>05761</t>
  </si>
  <si>
    <t>BUCHA DE REDUCAO DE PVC RIGIDO, SOLDAVELCURTA, DE (25X20)MM</t>
  </si>
  <si>
    <t>So000089383</t>
  </si>
  <si>
    <t>ADAPTADOR CURTO COM BOLSA E ROSCA PARA REGISTRO, PVC, SOLDÁVEL, DN 25MM X 3/4, INSTALADO EM RAMAL OU SUB-RAMAL DE ÁGUA - FORNECIMENTO E INSTALAÇÃO. AF_12/2014</t>
  </si>
  <si>
    <t>ADAPTADOR PVC SOLDAVEL CURTO COM BOLSA E ROSCA, 25 MM X 3/4", PARA AGUA FRIA</t>
  </si>
  <si>
    <t>So000089987</t>
  </si>
  <si>
    <t>REGISTRO DE GAVETA BRUTO, LATÃO, ROSCÁVEL, 3/4", COM ACABAMENTO E CANOPLA CROMADOS. FORNECIDO E INSTALADO EM RAMAL DE ÁGUA. AF_12/2014</t>
  </si>
  <si>
    <t>REGISTRO GAVETA COM ACABAMENTO E CANOPLA CROMADOS, SIMPLES, BITOLA 3/4 " (REF 1509)</t>
  </si>
  <si>
    <t>So000089985</t>
  </si>
  <si>
    <t>REGISTRO DE PRESSÃO BRUTO, LATÃO, ROSCÁVEL, 3/4", COM ACABAMENTO E CANOPLA CROMADOS. FORNECIDO E INSTALADO EM RAMAL DE ÁGUA. AF_12/2014</t>
  </si>
  <si>
    <t>REGISTRO PRESSAO COM ACABAMENTO E CANOPLA CROMADA, SIMPLES, BITOLA 3/4 " (REF 1416)</t>
  </si>
  <si>
    <t xml:space="preserve">Total da Haste + 1 Conector </t>
  </si>
  <si>
    <t>15.036.0074-0</t>
  </si>
  <si>
    <t>HASTE DE ATERRAMENTO 5/8  PARA SPDA, COM 1 CONECTOR - FORNECIMENTO E INSTALAÇÃO. AF_12/2017</t>
  </si>
  <si>
    <t xml:space="preserve">Preço Total : Caixa + Tampão </t>
  </si>
  <si>
    <t>Composição : So000097902 + So000098114</t>
  </si>
  <si>
    <t>INSTALAÇÕES HIDRÁULICAS - ÁGUA</t>
  </si>
  <si>
    <t>So000094711</t>
  </si>
  <si>
    <t>12955</t>
  </si>
  <si>
    <t>BUCHA DE REDUCAO DE PVC, SOLDAVEL LONGA,DE 50MMX32MM</t>
  </si>
  <si>
    <t>JOELHO 90 GRAUS, PVC, SOLDÁVEL, DN 20MM, INSTALADO EM RAMAL OU SUB-RAMAL DE ÁGUA - FORNECIMENTO E INSTALAÇÃO. AF_12/2014</t>
  </si>
  <si>
    <t>JOELHO PVC, SOLDAVEL, 90 GRAUS, 20 MM, PARA AGUA FRIA PREDIAL</t>
  </si>
  <si>
    <t>So000090373</t>
  </si>
  <si>
    <t>JOELHO 90 GRAUS COM BUCHA DE LATÃO, PVC, SOLDÁVEL, DN 25MM, X 1/2 INSTALADO EM RAMAL OU SUB-RAMAL DE ÁGUA - FORNECIMENTO E INSTALAÇÃO. AF_12/2014</t>
  </si>
  <si>
    <t>JOELHO PVC, SOLDAVEL, COM BUCHA DE LATAO, 90 GRAUS, 25 MM X 1/2", PARA AGUA FRIA PREDIAL</t>
  </si>
  <si>
    <t>So000089358</t>
  </si>
  <si>
    <t>Total com Fornecimento e Instalação</t>
  </si>
  <si>
    <t>Composição (02) : So000089708</t>
  </si>
  <si>
    <t>So000089367</t>
  </si>
  <si>
    <t>So000089362</t>
  </si>
  <si>
    <t>JOELHO 90 GRAUS, PVC, SOLDÁVEL, DN 32MM, INSTALADO EM RAMAL OU SUB-RAMAL DE ÁGUA - FORNECIMENTO E INSTALAÇÃO. AF_12/2014</t>
  </si>
  <si>
    <t>JOELHO 90 GRAUS, PVC, SOLDÁVEL, DN 25MM, INSTALADO EM RAMAL OU SUB-RAMAL DE ÁGUA - FORNECIMENTO E INSTALAÇÃO. AF_12/2014</t>
  </si>
  <si>
    <t>Composição : So000089367</t>
  </si>
  <si>
    <t>Composição : 15.038.0455-0</t>
  </si>
  <si>
    <t>JOELHO 90§ SOLDAVEL E COM BUCHA DE LATAO,COM DIAMETRO DE 20MMX1/2 .FORNECIMENTO E INSTALAÇÃO.</t>
  </si>
  <si>
    <t>TE, PVC, SOLDÁVEL, DN 32 MM</t>
  </si>
  <si>
    <t>Composição : So000089619</t>
  </si>
  <si>
    <t>Composição : So000089400</t>
  </si>
  <si>
    <t>Tê de redução 90° Soldável, de 50 mm x 32 mm</t>
  </si>
  <si>
    <t>Composição : 15.038.0250-0</t>
  </si>
  <si>
    <t>Bucha de redução Soldável Curta, de 32 mm x 25 mm</t>
  </si>
  <si>
    <t>BUCHA DE REDUCAO SOLDAVEL LONGA,COM DIAMETRO DE 50MMX32MM. FORNECIMENTO E INSTALAÇÃO</t>
  </si>
  <si>
    <t>BUCHA DE REDUCAO SOLDAVEL CURTA,COM DIAMETRO DE 25MMX20MM. FORNECIMENTO E INSTALAÇÃO</t>
  </si>
  <si>
    <t>LUVA SOLDAVEL COM BUCHA DE LATAO, PVC, 20 MM X 1/2"</t>
  </si>
  <si>
    <t>So000089381</t>
  </si>
  <si>
    <t>LUVA COM BUCHA DE LATÃO, PVC, SOLDÁVEL, DN 25MM X 3/4, INSTALADO EM RAMAL OU SUB-RAMAL DE ÁGUA - FORNECIMENTO E INSTALAÇÃO. AF_12/2014</t>
  </si>
  <si>
    <t>LUVA SOLDAVEL COM BUCHA DE LATAO, PVC, 25 MM X 3/4"</t>
  </si>
  <si>
    <t>Composição : So000089374</t>
  </si>
  <si>
    <t>Luva Soldável com Bucha de Latão, de 25 mm x ½”</t>
  </si>
  <si>
    <t>Memória de Quantidades</t>
  </si>
  <si>
    <t xml:space="preserve">&gt; Prazo de Construção  </t>
  </si>
  <si>
    <t>meses</t>
  </si>
  <si>
    <t>&gt; Distância do Bota-fora</t>
  </si>
  <si>
    <t>km</t>
  </si>
  <si>
    <t>&gt; Distância do Depósito da PMBM</t>
  </si>
  <si>
    <t>&gt;&gt;&gt; SERVIÇOS PRELIMINARES</t>
  </si>
  <si>
    <t>&gt; Placa de Obra</t>
  </si>
  <si>
    <t>m2</t>
  </si>
  <si>
    <t>&gt; Tapume</t>
  </si>
  <si>
    <t>Não</t>
  </si>
  <si>
    <t>&gt; Aluguel de Container : 1 Container</t>
  </si>
  <si>
    <t>&gt; Transporte de Container (3,0 km, ida e volta) : 1 Container</t>
  </si>
  <si>
    <t xml:space="preserve">&gt; Carga e Descarga de Container </t>
  </si>
  <si>
    <t>1.6</t>
  </si>
  <si>
    <t>&gt; Aluguel de Banheiro Químico (1 Banheiro)</t>
  </si>
  <si>
    <t>1.7</t>
  </si>
  <si>
    <t>&gt; Barracão para depósito</t>
  </si>
  <si>
    <t>1.8</t>
  </si>
  <si>
    <t>&gt; Instalação Provisória :  Elétrica</t>
  </si>
  <si>
    <t>1.9</t>
  </si>
  <si>
    <t>&gt; Instalação Provisória : Água e Esgoto</t>
  </si>
  <si>
    <t>1.10</t>
  </si>
  <si>
    <t xml:space="preserve">Escavção em </t>
  </si>
  <si>
    <t>INSTALAÇÕES SANITÁRIAS - ESGOTO SANITÁRIO</t>
  </si>
  <si>
    <t>m</t>
  </si>
  <si>
    <t>m3</t>
  </si>
  <si>
    <t xml:space="preserve">9,00m em Piso Interno </t>
  </si>
  <si>
    <t>Profundidade total : 0,30m</t>
  </si>
  <si>
    <t>10,50m em Calçada</t>
  </si>
  <si>
    <t>10.50m em Terra</t>
  </si>
  <si>
    <t>21,00m em Piso Externo :</t>
  </si>
  <si>
    <t>Demol em Concreto Simples</t>
  </si>
  <si>
    <t xml:space="preserve">&gt; 9,00m em Piso Interno </t>
  </si>
  <si>
    <t>Escavação em Terra</t>
  </si>
  <si>
    <t>Demol em Concreto Simples - Calçada</t>
  </si>
  <si>
    <t xml:space="preserve">&gt; RESUMO </t>
  </si>
  <si>
    <t xml:space="preserve">Demolição de Concreto Simples </t>
  </si>
  <si>
    <t>Reaterro com Terra</t>
  </si>
  <si>
    <t>(-)</t>
  </si>
  <si>
    <t>Constr. Concreto Simples</t>
  </si>
  <si>
    <t xml:space="preserve">Instalação dos Seguintes Tubos : </t>
  </si>
  <si>
    <t xml:space="preserve">Tubo de PVC Rígido Com Ponta e Bolsa com Virola </t>
  </si>
  <si>
    <t>Tubo de PVC Rígido Com Ponta e Bolsa Soldável</t>
  </si>
  <si>
    <t>Ø 100mm</t>
  </si>
  <si>
    <t>Ø 75mm</t>
  </si>
  <si>
    <t>Ø 50mm</t>
  </si>
  <si>
    <t>Ø 40mm</t>
  </si>
  <si>
    <t>100,00 % dos Tubos Instalados em Piso Interno</t>
  </si>
  <si>
    <t>Tubo de PVC Rígido Soldável</t>
  </si>
  <si>
    <t>Ø 32mm</t>
  </si>
  <si>
    <t>Ø 25mm</t>
  </si>
  <si>
    <t>Ø 20mm</t>
  </si>
  <si>
    <t>100,00 % dos Tubos Instalados em Paredes</t>
  </si>
  <si>
    <t>Demolição de Concreto Simples</t>
  </si>
  <si>
    <t>15.045.0115-0</t>
  </si>
  <si>
    <t>01968</t>
  </si>
  <si>
    <t>MAO-DE-OBRA DE PEDREIRO, INCLUSIVE ENCARGOS SOCIAIS</t>
  </si>
  <si>
    <t>Ver : 15.045.0115-0 / ABERTURA E FECHAMENTO MANUAL DE RASGO EM ALVENARIA,PARA PASSAGEM DE TUBOS E DUTOS,COM DIAMETRO DE 1.1/4 A 2 (OBS.:3%-DESGASTE DE FERRAMENTAS E EPI).</t>
  </si>
  <si>
    <t>&gt; 21,00m em Piso Externo</t>
  </si>
  <si>
    <t>Caixa Sifonada porta grelha quadrdada</t>
  </si>
  <si>
    <t>150x150x50mm</t>
  </si>
  <si>
    <t xml:space="preserve">UN </t>
  </si>
  <si>
    <t>150x185x75mm</t>
  </si>
  <si>
    <t>Caixa Seca porta grelha quadrado</t>
  </si>
  <si>
    <t>100x100x40mm</t>
  </si>
  <si>
    <t>60x60cm</t>
  </si>
  <si>
    <t>Ø 40cm</t>
  </si>
  <si>
    <t>Caixa de Gordura Simples - Pré-moldada Concreto</t>
  </si>
  <si>
    <t>Caixa de Inspeção seca com tampa metálica articulada - Alvenaria</t>
  </si>
  <si>
    <t>Caixa Sifonada p / coleta de expurgo tampa metálica cega - PVC</t>
  </si>
  <si>
    <t>Total</t>
  </si>
  <si>
    <t xml:space="preserve">ITEM </t>
  </si>
  <si>
    <t xml:space="preserve">DESCRIÇÃO </t>
  </si>
  <si>
    <t>Cômodo</t>
  </si>
  <si>
    <t>DEMOLIÇÕES</t>
  </si>
  <si>
    <t>ARRANCAMENTOS / REMOÇÕES</t>
  </si>
  <si>
    <t>unid</t>
  </si>
  <si>
    <t>REMOÇÃO DE METAIS E PLÁSTICOS SANITÁRIOS</t>
  </si>
  <si>
    <t>ESQUADRIAS DE VIDRO E FERRAGENS</t>
  </si>
  <si>
    <t>VIDROS</t>
  </si>
  <si>
    <t>REVESTIMENTO DE PISOS</t>
  </si>
  <si>
    <t>DEMOLIÇÃO RODAPÉ (MARMORITE)</t>
  </si>
  <si>
    <t>DEMOLIÇÃO DE PISO MARMORITE</t>
  </si>
  <si>
    <t>Porta de madeira (1,40 x2,10)</t>
  </si>
  <si>
    <t>2, 3 e 4</t>
  </si>
  <si>
    <t>ARRANCAMENTO DIVISÓRIAS EUCATEX</t>
  </si>
  <si>
    <t xml:space="preserve"> </t>
  </si>
  <si>
    <t>Porta de madeira (1,00 x 2,10)</t>
  </si>
  <si>
    <t>Janela basculante (2,77 x 0,40)</t>
  </si>
  <si>
    <t>Janelas de alumínio/vidro (2,00 x 0,78)</t>
  </si>
  <si>
    <t>Tomadas simples</t>
  </si>
  <si>
    <t>Tomada no balcão</t>
  </si>
  <si>
    <t>Tomada dupla</t>
  </si>
  <si>
    <t>Tomada externa</t>
  </si>
  <si>
    <t>Caixas de passagem</t>
  </si>
  <si>
    <t>Câmera de segurança</t>
  </si>
  <si>
    <t>Peitoris de mármore (2,00 x 0,15 x 0,02)</t>
  </si>
  <si>
    <t>DEMOLIÇÃO ALVENARIA 1/2 Vez - Balcão de alvenaria (2,82m de comprimento x 1,02m de altura)</t>
  </si>
  <si>
    <t xml:space="preserve">5 e 6 </t>
  </si>
  <si>
    <t xml:space="preserve">Luminária Dupla </t>
  </si>
  <si>
    <t>Tomada Dupla</t>
  </si>
  <si>
    <t>Quadro de Luz (0,36 x 0,53 m)</t>
  </si>
  <si>
    <t>Ventilador de Parede</t>
  </si>
  <si>
    <t>Janela basculante (1,60 x 0,38 m)</t>
  </si>
  <si>
    <t>Lavatório (0,40 x 0,30m)</t>
  </si>
  <si>
    <t>Tanque</t>
  </si>
  <si>
    <t>Saboneteira</t>
  </si>
  <si>
    <t xml:space="preserve">Toalheiro </t>
  </si>
  <si>
    <t>Registro de Pressão</t>
  </si>
  <si>
    <t>Registro de Gaveta</t>
  </si>
  <si>
    <t>Vaso Sanitário sem descarga</t>
  </si>
  <si>
    <t>Vaso Sanitário com descarga externa</t>
  </si>
  <si>
    <t>Porta-papel</t>
  </si>
  <si>
    <t>Porta de madeira (0,80 x 2,10)</t>
  </si>
  <si>
    <t>Porta de madeira (0,88 x 1,78)</t>
  </si>
  <si>
    <t>Porta de madeira (0,55 x 1,78)</t>
  </si>
  <si>
    <t>Janela basculante alumínio / vidro (0,59 x 0,69 m)</t>
  </si>
  <si>
    <t>Janela basculante alumínio / vidro (1,60 x 0,38 m)</t>
  </si>
  <si>
    <t>Peitoris de mármore (0,59 x 0,15  x 0,02)</t>
  </si>
  <si>
    <t>ARRANCAMENTO DIVISÓRIAS MARMORITE</t>
  </si>
  <si>
    <t>Chuveiro</t>
  </si>
  <si>
    <t>Interruptor com Tomada</t>
  </si>
  <si>
    <t>Ralo</t>
  </si>
  <si>
    <t>Interruptor</t>
  </si>
  <si>
    <t>Ar Condicionado</t>
  </si>
  <si>
    <t xml:space="preserve">Grade em vão de ventilação (2,75 x 0,35m) </t>
  </si>
  <si>
    <t xml:space="preserve">Grade em vão de ventilação (1,10x 0,35m) </t>
  </si>
  <si>
    <t>Torneira</t>
  </si>
  <si>
    <t>Pia de granito  3,04 x 0,60 m, com frontispício 3,04 x 0,06m, por 0,02 espessura</t>
  </si>
  <si>
    <t>Luminária</t>
  </si>
  <si>
    <t>Porta de madeira (0,70 x 2,10)</t>
  </si>
  <si>
    <t xml:space="preserve">Interruptor Duplo </t>
  </si>
  <si>
    <t>Demol Paredes</t>
  </si>
  <si>
    <t>DEMOLIÇÃO ALVENARIA 1/2 Vez</t>
  </si>
  <si>
    <t xml:space="preserve">REMOÇÃO DE PORTAS </t>
  </si>
  <si>
    <t xml:space="preserve">TOTAL </t>
  </si>
  <si>
    <t>REMOÇÃO DE JANELAS</t>
  </si>
  <si>
    <t>REMOÇÃO DE GRADES</t>
  </si>
  <si>
    <t xml:space="preserve">REMOÇÃO DE PEITORIS </t>
  </si>
  <si>
    <t>ARRANCAMENTO GRANITO : 2 Pedras de granito acima do balcão (1,67 x 0,36)</t>
  </si>
  <si>
    <t>REMOÇÃO DE LOUÇAS, CX DESCARGA, ARMÁRIO</t>
  </si>
  <si>
    <t xml:space="preserve">SERVIÇOS PRELIMINARES </t>
  </si>
  <si>
    <t>01967</t>
  </si>
  <si>
    <t>MAO-DE-OBRA DE CARPINTEIRO DE ESQUADRIASDE MADEIRA INCLUSIVE ENCARGOS SOCIAIS</t>
  </si>
  <si>
    <t>01966</t>
  </si>
  <si>
    <t>MAO-DE-OBRA DE PINTOR, INCLUSIVE ENCARGOS SOCIAIS</t>
  </si>
  <si>
    <t>01001</t>
  </si>
  <si>
    <t>19.004.0001-2 CAMINHAO CARROC. FIXA, 3,5T (CP)</t>
  </si>
  <si>
    <t>Composição : 05.001.0105-0</t>
  </si>
  <si>
    <t>CARPINTEIRO DE ESQUADRIA COM ENCARGOS COMPLEMENTARES</t>
  </si>
  <si>
    <t>Composição : So000072178</t>
  </si>
  <si>
    <t>Composição : 05.001.0146-0</t>
  </si>
  <si>
    <t>So000097644</t>
  </si>
  <si>
    <t>REMOÇÃO DE PORTAS, DE FORMA MANUAL, SEM REAPROVEITAMENTO. AF_12/2017</t>
  </si>
  <si>
    <t>So000097645</t>
  </si>
  <si>
    <t>REMOÇÃO DE JANELAS, DE FORMA MANUAL, SEM REAPROVEITAMENTO. AF_12/2017</t>
  </si>
  <si>
    <t>CABO DE ACO GALVANIZADO, DIAMETRO 9,53 MM (3/8"), COM ALMA DE FIBRA 6 X 25 F  (COLETADO CAIXA)</t>
  </si>
  <si>
    <t>Composição : So000097645</t>
  </si>
  <si>
    <t>05.001.0071-0</t>
  </si>
  <si>
    <t>REMOCAO CUIDADOSA DE PEITORIS,SOLEIRAS OU CHAPINS (OBS.:3%-DESGASTE DE FERRAMENTAS E EPI).</t>
  </si>
  <si>
    <t>So000097666</t>
  </si>
  <si>
    <t>REMOÇÃO DE METAIS SANITÁRIOS, DE FORMA MANUAL, SEM REAPROVEITAMENTO. AF_12/2017</t>
  </si>
  <si>
    <t>So000097663</t>
  </si>
  <si>
    <t>REMOÇÃO DE LOUÇAS, DE FORMA MANUAL, SEM REAPROVEITAMENTO. AF_12/2017</t>
  </si>
  <si>
    <t>So000097660</t>
  </si>
  <si>
    <t>REMOÇÃO DE INTERRUPTORES/TOMADAS ELÉTRICAS, DE FORMA MANUAL, SEM REAPROVEITAMENTO. AF_12/2017</t>
  </si>
  <si>
    <t>So000097665</t>
  </si>
  <si>
    <t>REMOÇÃO DE LUMINÁRIAS, DE FORMA MANUAL, SEM REAPROVEITAMENTO. AF_12/2017</t>
  </si>
  <si>
    <t>REMOÇÃO DE INTERRUPTORES E TOMADAS</t>
  </si>
  <si>
    <t>REMOÇÃO DE LUMINÁRIAS</t>
  </si>
  <si>
    <t>Quadro de Luz (0,26 x 0,20 m)</t>
  </si>
  <si>
    <t>Composição : So000097665</t>
  </si>
  <si>
    <t>So000072897</t>
  </si>
  <si>
    <t>So000097914</t>
  </si>
  <si>
    <t>Composição : So000072897</t>
  </si>
  <si>
    <t>(OBS. : Considerar metade do preço da Carga)</t>
  </si>
  <si>
    <t>So000097632</t>
  </si>
  <si>
    <t>DEMOLIÇÃO DE RODAPÉ CERÂMICO, DE FORMA MANUAL, SEM REAPROVEITAMENTO. AF_12/2017</t>
  </si>
  <si>
    <t>AZULEJISTA OU LADRILHISTA COM ENCARGOS COMPLEMENTARES</t>
  </si>
  <si>
    <t>So000097622</t>
  </si>
  <si>
    <t>DEMOLIÇÃO DE ALVENARIA DE BLOCO FURADO, DE FORMA MANUAL, SEM REAPROVEITAMENTO. AF_12/2017</t>
  </si>
  <si>
    <t>(Instalação de Eletroduto de PVC Rígido  Ø 60,0mm = 30,00m)</t>
  </si>
  <si>
    <t>R E S U M O GERAL : Inst.  Elétrica + Inst. Sanitária Esgoto + Inst. Hidráulica Água</t>
  </si>
  <si>
    <t>Demolição de Piso de Marmorite</t>
  </si>
  <si>
    <t>Demolição de Rodapé de Marmorite</t>
  </si>
  <si>
    <t>Demolição de Alvenaria</t>
  </si>
  <si>
    <t>Demolição de Revestimento de Azulejo</t>
  </si>
  <si>
    <t>TOTAL - m3</t>
  </si>
  <si>
    <t xml:space="preserve">Carga : Aproximadamente  3 viagens de caminhão =  18,00 m3.             </t>
  </si>
  <si>
    <t xml:space="preserve">CARGA MANUAL </t>
  </si>
  <si>
    <t xml:space="preserve">TRANSPORTE COM CAMINHÃO </t>
  </si>
  <si>
    <t xml:space="preserve">DESCARGA DE MATERIAL </t>
  </si>
  <si>
    <t>18,00m3 x 5,80 km</t>
  </si>
  <si>
    <t xml:space="preserve">ALVENARIAS E TAPAMENTOS </t>
  </si>
  <si>
    <t>RODAPÉS, SOLEIRA , PEITORIS E MOLDURA</t>
  </si>
  <si>
    <t>REMOÇÃO DE APARELHOS ELÉTRICOS</t>
  </si>
  <si>
    <t>02593</t>
  </si>
  <si>
    <t>VALVULA DE ESCOAMENTO, P/PIA DE COZINHA,1623, EM METAL CROMADO, DE 1.1/2"X3.3/4"</t>
  </si>
  <si>
    <t>02565</t>
  </si>
  <si>
    <t>BANCA DE ACO INOXIDAVEL, CHAPA 18/304, COM UMA CUBA DE (500X400X200)MM, CHAPA 20/304, DE (0,55X2,00)M</t>
  </si>
  <si>
    <t>02356</t>
  </si>
  <si>
    <t>SIFAO EM METAL CROMADO, DE 1.1/2"X1.1/2"</t>
  </si>
  <si>
    <t>PAREDES</t>
  </si>
  <si>
    <t xml:space="preserve">Pontos de Telefone  (2 Pontos) : </t>
  </si>
  <si>
    <t>DEMOLIÇÃO REVESTIMENTO CERÂMICO / AZULEJO - Parede</t>
  </si>
  <si>
    <t>Material original recebido do Pedro, em 10/Jun/2019.  Várias Revisões após essa data.</t>
  </si>
  <si>
    <t>Revisão recebida em 09/Jul/2019.</t>
  </si>
  <si>
    <r>
      <t xml:space="preserve">Fonte Oficial dos Preços :  SINAPI / EMOP -  RJ  -  </t>
    </r>
    <r>
      <rPr>
        <b/>
        <i/>
        <u/>
        <sz val="12"/>
        <color theme="1"/>
        <rFont val="Times New Roman"/>
        <family val="1"/>
      </rPr>
      <t>SEM Desoneração  - Abr/2019</t>
    </r>
  </si>
  <si>
    <t>Encargos Sociais SEM Desoneração - SINAPI :    116,09% (HORA)    -    72,55% (MÊS)</t>
  </si>
  <si>
    <t>Composição : 02.020.0001-0</t>
  </si>
  <si>
    <t>Composição : So000097634</t>
  </si>
  <si>
    <t>Composição : 05.001.0009-0</t>
  </si>
  <si>
    <t>04.014.0095-0</t>
  </si>
  <si>
    <t>RETIRADA DE ENTULHO DE OBRA COM CACAMBA DE ACO TIPO CONTAINER COM 5M3 DE CAPACIDADE,INCLUSIVE CARREGAMENTO,TRANSPORTE E DESCARREGAMENTO.CUSTO POR UNIDADE DE CACAMBA E INCLUI A TAXA PARA DESCARGA EM LOCAIS AUTORIZADOS (OBS.:3%-DESGASTE DE FERRAMENTAS E EPI).</t>
  </si>
  <si>
    <t>10962</t>
  </si>
  <si>
    <t>ALUGUEL CACAMBA DE ACO TIPO CONTAINER C/5M3 CAPAC.P/RETIRADA ENTULHO OBRA,INCLUSIVE CARREGAM.,TRANSP.E DESCARREGAMENTO</t>
  </si>
  <si>
    <t>Caçamba de 5m3</t>
  </si>
  <si>
    <t>RETIRADA DE ENTULHO DE OBRA COM CACAMBA DE ACO TIPO CONTAINER COM 5M3 DE CAPACIDADE, INCLUSIVE CARREGAMENTO, TRANSPORTE E DESCARREGAMENTO. CUSTO POR UNIDADE DE CACAMBA E INCLUI A TAXA PARA DESCARGA EM LOCAIS AUTORIZADOS (OBS.:3%-DESGASTE DE FERRAMENTAS E EPI).</t>
  </si>
  <si>
    <t>TOTAL POR M2</t>
  </si>
  <si>
    <t>ARRANCAMENTO DE BANCADA DE PIA / LAVATORIO OU BANCA SECA DE ATE 1,00M DE ALTURA E ATE 0,80M DE LARGURA (OBS.:3%-DESGASTE DE FERRAMENTAS E EPI).</t>
  </si>
  <si>
    <t>Composição (01) : So000093141</t>
  </si>
  <si>
    <t>PONTO DE ILUMINAÇÃO RESIDENCIAL INCLUINDO INTERRUPTOR SIMPLES, CAIXA ELÉTRICA, ELETRODUTO DN 25MM (3/4"), CABO 2,5MM2, RASGO, QUEBRA E CHUMBAMENTO (EXCLUINDO LUMINÁRIA E LÂMPADA). AF_01/2016</t>
  </si>
  <si>
    <t>PONTO DE TOMADA RESIDENCIAL INCLUINDO TOMADA 10A/250V, CAIXA ELÉTRICA, ELETRODUTO DN 25 MM (3/4"), CABO 2,5 MM2, RASGO, QUEBRA E CHUMBAMENTO. AF_01/2016</t>
  </si>
  <si>
    <t>Composição (02) : So000093141</t>
  </si>
  <si>
    <t>PONTO DE TOMADA RESIDENCIAL INCLUINDO TOMADA 10A/250V, CAIXA ELÉTRICA, ELETRODUTO DN 25 MM (3/4"), CABO 4MM2, RASGO, QUEBRA E CHUMBAMENTO. AF_01/2016</t>
  </si>
  <si>
    <t>PONTO DE FORÇA PARA CHUVEIRO : PONTO DE UTILIZAÇÃO DE EQUIPAMENTOS ELÉTRICOS, RESIDENCIAL, INCLUINDO SUPORTE E PLACA, CAIXA ELÉTRICA, ELETRODUTO DN 25MM (3/4"), CABO 4MM2, RASGO, QUEBRA E CHUMBAMENTO. AF_01/2016</t>
  </si>
  <si>
    <t>07068</t>
  </si>
  <si>
    <t>GLOBO ESFERICO, EM PLASTICO, DE 4"x6"</t>
  </si>
  <si>
    <t>07043</t>
  </si>
  <si>
    <t>PLAFONIER DE ALUMINIO PARA GLOBO, TIPO POPULAR, DE 4"</t>
  </si>
  <si>
    <t>Composição : 18.027.0460-0</t>
  </si>
  <si>
    <t>Preço médio de 20A a 30A, por unidade :</t>
  </si>
  <si>
    <t>Composição : So000093673</t>
  </si>
  <si>
    <t>Acrescer aprox 10,0 % no Preço por unidade :</t>
  </si>
  <si>
    <t>QUADRO DE DISTRIBUICAO DE ENERGIA DE EMBUTIR, EM CHAPA METALICA, PARA 24 DISJUNTORES TERMOMAGNETICOS MONOPOLARES, COM BARRAMENTO TRIFASICO E NEUTRO, FORNECIMENTO E INSTALACAO</t>
  </si>
  <si>
    <t>QUADRO DE DISTRIBUICAO DE ENERGIA DE EMBUTIR, EM CHAPA METALICA, PARA 32 DISJUNTORES TERMOMAGNETICOS MONOPOLARES, COM BARRAMENTO TRIFASICO E NEUTRO, FORNECIMENTO E INSTALACAO</t>
  </si>
  <si>
    <t>CURVA 90§ DE PVC RIGIDO, ROSQUEAVEL, PARA ELETRODUTO, DE 3/4"</t>
  </si>
  <si>
    <t>BOX DE ALUMINIO CURVO, DE 3/4"</t>
  </si>
  <si>
    <t>BUCHA E ARRUELA DE ALUMINIO PARA ELETRODUTO, DE 3/4"</t>
  </si>
  <si>
    <t>LUVA DE PVC RIGIDO ROSQUEAVEL, PARA ELETRODUTO, DE 3/4"</t>
  </si>
  <si>
    <t>CINTA GALVANIZADA, COM PARAFUSOS, DE 4"</t>
  </si>
  <si>
    <t>ELETRODUTO DE PVC PRETO, RIGIDO ROSQUEAVEL, COM ROSCA EM AMBAS EXTREMIDADES, EMBARRAS DE 3 METROS, DE 3/4"</t>
  </si>
  <si>
    <t>ELETRODUTO DE PVC PRETO,RIGIDO ROSQUEAVEL EM AMBAS EXTREMIDADES,EM BARRAS DE 3 METROS,DE 2"</t>
  </si>
  <si>
    <t>TERMINAL OU CONECTOR DE PRESSAO - PARA CABO 50MM2 - FORNECIMENTO E INSTALACAO</t>
  </si>
  <si>
    <t>TERMINAL METALICO A PRESSAO PARA 1 CABO DE 50 MM2, COM 1 FURO DE FIXACAO</t>
  </si>
  <si>
    <t>Composição : So000096985 + So000072263</t>
  </si>
  <si>
    <t>CABO DE COBRE COM ISOLAMENTO TERMOPLASTICO, COMPREENDENDO : PREPARO,CORTE E ENFIACAO EM ELETRODUTOS, NA BITOLA DE 25MM2, 450/ 750V. FORNECIMENTO E COLOCACAO (OBS.:3%-DESGASTE DE FERRAMENTAS E EPI).</t>
  </si>
  <si>
    <t>CABO DE COBRE COM ISOLAMENTO TERMOPLASTICO,COMPREENDENDO:PREPARO,CORTE E ENFIACAO EM ELETRODUTOS,NA BITOLA DE 16MM2,450/ 750V.FORNECIMENTO E COLOCACAO (OBS.:3%-DESGASTE DE FERRAMENTAS E EPI).</t>
  </si>
  <si>
    <t>CABO DE COBRE COM ISOLAMENTO TERMOPLASTICO,COMPREENDENDO:PREPARO,CORTE E ENFIACAO EM ELETRODUTOS NA BITOLA DE 10MM2,450/ 750V.FORNECIMENTO E COLOCACAO (OBS.:3%-DESGASTE DE FERRAMENTAS E EPI).</t>
  </si>
  <si>
    <t>CABO DE COBRE COM ISOLAMENTO TERMOPLASTICO,COMPREENDENDO:PREPARO,CORTE E ENFIACAO EM ELETRODUTOS,NA BITOLA DE 6MM2,450/7 50V.FORNECIMENTO E COLOCACAO (OBS.:3%-DESGASTE DE FERRAMENTAS E EPI).</t>
  </si>
  <si>
    <t>ELETRODUTO DE PVC RIGIDO ROSQUEAVEL DE 2", INCLUSIVE CONEXOES E EMENDAS, EXCLUSIVE ABERTURA E FECHAMENTO DE RASGO. FORNECIM ENTO E ASSENTAMENTO (OBS.:3%-DESGASTE DE FERRAMENTAS E EPI 10%-CONEXOES E EMENDAS).</t>
  </si>
  <si>
    <t>15.018.0130-0</t>
  </si>
  <si>
    <t>CAIXA DE EMBUTIR,EM PVC,4"X4",INCLUSIVE BUCHAS E ARRUELAS.FORNECIMENTO E COLOCACAO (OBS.:3%-DESGASTE DE FERRAMENTAS E EPI).</t>
  </si>
  <si>
    <t>05751</t>
  </si>
  <si>
    <t>CAIXA DE LUZ DE PVC, DE 4"x4"</t>
  </si>
  <si>
    <t>15.018.0120-0</t>
  </si>
  <si>
    <t>CAIXA DE EMBUTIR,EM PVC,2"X4",INCLUSIVE BUCHAS E ARRUELAS.FORNECIMENTO E COLOCACAO (OBS.:3%-DESGASTE DE FERRAMENTAS E EPI).</t>
  </si>
  <si>
    <t>05750</t>
  </si>
  <si>
    <t>CAIXA DE LUZ DE PVC, DE 4"x2"</t>
  </si>
  <si>
    <t>15.036.0079-0</t>
  </si>
  <si>
    <t>ELETRODUTO DE PVC ESPIRAL CORRUGADO,DIAMETRO DE 3/4",INCLUSIVE CONEXOES E EMENDAS.FORNECIMENTO E INSTALACAO (OBS.:3%-DESGASTE DE FERRAMENTAS E EPI 10%-CONEXOES E EMENDAS).</t>
  </si>
  <si>
    <t>07423</t>
  </si>
  <si>
    <t>ELETRODUTO FLEXIVEL CORRUGADO, EM PVC ANTICHAMA, NA COR AMARELA (NORMA NB-3/NBR-5410/89), DE=20MM</t>
  </si>
  <si>
    <t xml:space="preserve">PONTOS DE TELEFONE (2 Pontos) : </t>
  </si>
  <si>
    <t>15.036.0048-0</t>
  </si>
  <si>
    <t>15.036.0047-0</t>
  </si>
  <si>
    <t>15.036.0046-0</t>
  </si>
  <si>
    <t>15.036.0045-0</t>
  </si>
  <si>
    <t>TUBO DE PVC RIGIDO C/PONTA E BOLSA C/VIROLA, DE 75MM, SOLDAVEL,E XCLUSIVE EMENDAS,C ONEXOES,ABERTURA E FECHAMENTO DE RASGO. FORNECIMENTO E ASSENTAMENT O (OBS.:3%-DESGASTE DE FERRAMENTAS E EPI).</t>
  </si>
  <si>
    <t>TUBO DE PVC RIGIDO C/PONTA E BOLSA C/VIROLA, DE 100MM, SOLDAVEL, EXCLUSIVE EMENDAS, CONEXOES, ABERTURA E FECHAMENTO DE RASGO. FORNECIMENTO E ASSENTAMEN TO (OBS.:3%-DESGASTE DE FERRAMENTAS E EPI).</t>
  </si>
  <si>
    <t>TUBO DE PVC RIGIDO C/PONTA E BOLSA C/VIROLA, DE 50MM, SOLDAVEL, EXCLUSIVE EMENDAS, CONEXOES, ABERTURA E FECHAMENTO DE RASGO. FORNECIMENTO E ASSENTAMENT O (OBS.:3%-DESGASTE DE FERRAMENTAS E EPI).</t>
  </si>
  <si>
    <t>TUBO DE PVC RIGIDO C/PONTA E BOLSA, DE 40MM, SOLDAVEL, EXCLUSIVE EMENDAS, CONEXOES, ABERTURA E FECHAMENTO DE RASGO .FORNECIMENTO E ASSENTAMENT O (OBS.:3%-DESGASTE DE FERRAMENTAS E EPI).</t>
  </si>
  <si>
    <t>Copmposição (01) : So000089708</t>
  </si>
  <si>
    <t>11712</t>
  </si>
  <si>
    <r>
      <t xml:space="preserve">CAIXA  SECA, C/PORTA GRELHA QUADRADA,                  </t>
    </r>
    <r>
      <rPr>
        <strike/>
        <sz val="9"/>
        <color theme="1"/>
        <rFont val="Times New Roman"/>
        <family val="1"/>
      </rPr>
      <t>SIFONADA</t>
    </r>
    <r>
      <rPr>
        <sz val="9"/>
        <color theme="1"/>
        <rFont val="Times New Roman"/>
        <family val="1"/>
      </rPr>
      <t xml:space="preserve">, PVC, DN   100X100X40CMm            </t>
    </r>
    <r>
      <rPr>
        <strike/>
        <sz val="9"/>
        <color theme="1"/>
        <rFont val="Times New Roman"/>
        <family val="1"/>
      </rPr>
      <t>100 X 100 X 50 MM</t>
    </r>
    <r>
      <rPr>
        <sz val="9"/>
        <color theme="1"/>
        <rFont val="Times New Roman"/>
        <family val="1"/>
      </rPr>
      <t>, FORNECIDA E INSTALADA EM RAMAIS DE ENCAMINHAMENTO DE ÁGUA PLUVIAL. AF_12/2014</t>
    </r>
  </si>
  <si>
    <t>ANEL BORRACHA, DN 40 MM, PARA TUBO SERIE REFORCADA ESGOTO PREDIAL</t>
  </si>
  <si>
    <t>Composição : 18.013.0165-0</t>
  </si>
  <si>
    <t>GRELHA DE ACO INOX, 10X10CM, SISTEMA ROTATIVO, COM CAIXILHO. FORNECIMENTO</t>
  </si>
  <si>
    <t>Composição : 15.036.0040-0</t>
  </si>
  <si>
    <t>Composição : 15.036.0038-0</t>
  </si>
  <si>
    <t>Composição : 15.036.0037-0</t>
  </si>
  <si>
    <t>Composição : 15.036.0036-0</t>
  </si>
  <si>
    <t>JOELHO 90§ DE PVC SOLDAVEL COM BUCHA DELATAO, DE 20MMX1/2"</t>
  </si>
  <si>
    <t>INSTALAÇÃO</t>
  </si>
  <si>
    <t>Composição : So000089617</t>
  </si>
  <si>
    <t>(Alumínio Anodizado Natural)</t>
  </si>
  <si>
    <t xml:space="preserve">BASCULANTES </t>
  </si>
  <si>
    <t>Composição(01)  : So000089617</t>
  </si>
  <si>
    <t xml:space="preserve">Instalação </t>
  </si>
  <si>
    <t>Composição : 15.038.0265-0</t>
  </si>
  <si>
    <t>Composiçao (01)  : 15.038.0250-0</t>
  </si>
  <si>
    <t>ABERTURA E FECHAMENTO MANUAL DE RASGO EM ALVENARIA,PARA PASSAGEM DE TUBOS E DUTOS,COM DIAMETRO DE 1.1/4" A 2" (OBS.:3%-DESGASTE DE FERRAMENTAS E EPI).</t>
  </si>
  <si>
    <t>12.003.0180-1</t>
  </si>
  <si>
    <t>ALVENARIA DE TIJOLOS CERAMICOS FURADOS 10X20X20CM ASSENTES COM ARGAMASSA DE CIMENTO,CAL HIDRATADA ADITIVADA E AREIA,NO T RACO 1:1:8,EM PAREDES DE MEIA VEZ(0,10M),DE SUPERFICIE CORRIDA,ATE 3,00M DE ALTURA E MEDIDA PELA AREA REAL (OBS.:3%-DESGASTE DE FERRAMENTAS E EPI).</t>
  </si>
  <si>
    <t>15234</t>
  </si>
  <si>
    <t>07.005.0030-1 ARGAMASSA CIM.,CAL HIDR.AREIA-EMBOC.INT.PREPARO MECANICO</t>
  </si>
  <si>
    <t>10792</t>
  </si>
  <si>
    <t>PLACA DE GRANITO CINZA CORUMBA, P/DIVISORIA, 3CM DE ESPESSURA</t>
  </si>
  <si>
    <t>Cantoneira Cromada</t>
  </si>
  <si>
    <t>Composição : 12.035.0005-0</t>
  </si>
  <si>
    <t>ESPACADOR / DISTANCIADOR CIRCULAR COM ENTRADA LATERAL, EM PLASTICO, PARA VERGALHAO *4,2 A 12,5* MM, COBRIMENTO 20 MM</t>
  </si>
  <si>
    <t>PONTALETE DE MADEIRA NAO APARELHADA *7,5 X 7,5* CM (3 X 3 ") PINUS, MISTA OU EQUIVALENTE DA REGIAO</t>
  </si>
  <si>
    <t>So000093197</t>
  </si>
  <si>
    <t>CONTRAVERGA MOLDADA IN LOCO EM CONCRETO PARA VÃOS DE MAIS DE 1,5 M DE COMPRIMENTO. AF_03/2016</t>
  </si>
  <si>
    <t>Composição : So000093187</t>
  </si>
  <si>
    <t>VERGA MOLDADA IN LOCO EM CONCRETO PARA PORTAS E JANELAS COM MAIS DE 1,5 M DE VÃO. AF_03/2016</t>
  </si>
  <si>
    <t>Composição : So000086889</t>
  </si>
  <si>
    <t>SUPORTE MAO-FRANCESA EM ACO, ABAS IGUAIS 40 CM, CAPACIDADE MINIMA 70 KG, BRANCO</t>
  </si>
  <si>
    <t>REJUNTE EPOXI BRANCO</t>
  </si>
  <si>
    <t>GRANITO PARA BANCADA, POLIDO, TIPO ANDORINHA/ QUARTZ/ CASTELO/ CORUMBA OU OUTROS EQUIVALENTES DA REGIAO, E=  *2,5* CM</t>
  </si>
  <si>
    <t>BANCA DE GRANITO CINZA CORUMBA, COM 3CMDE ESPESSURA, COM 1 ABERTURA PARA CUBA (EXCLUSIVE CUBA)</t>
  </si>
  <si>
    <t>BUCHA DE NYLON SEM ABA S10, COM PARAFUSO DE 6,10 X 65 MM EM ACO ZINCADO COM ROSCA SOBERBA, CABECA CHATA E FENDA PHILLIPS</t>
  </si>
  <si>
    <t>MASSA PLASTICA PARA MARMORE/GRANITO</t>
  </si>
  <si>
    <t>MARMORISTA/GRANITEIRO COM ENCARGOS COMPLEMENTARES</t>
  </si>
  <si>
    <t>BANCA SECA DE GRANITO CINZA CORUMBA, COM3CM DE ESPESSURA E 60CM DE LARGURA</t>
  </si>
  <si>
    <t>Composição : So000089708</t>
  </si>
  <si>
    <t>CAIXA SIFONADA, PVC, DN  150 X 185 X 75 MM, JUNTA ELÁSTICA, FORNECIDA E INSTALADA EM RAMAL DE DESCARGA OU EM RAMAL DE ESGOTO SANITÁRIO. AF_12/2014</t>
  </si>
  <si>
    <t>Composição : So000086936</t>
  </si>
  <si>
    <t>CUBA DE EMBUTIR DE AÇO INOXIDÁVEL MÉDIA,  DE *46 X 30 X 12* CM, INCLUSO VÁLVULA TIPO AMERICANA E SIFÃO TIPO GARRAFA EM METAL CROMADO - FORNECIMENTO E INSTALAÇÃO. AF_12/2013</t>
  </si>
  <si>
    <t>Composição : So000086912</t>
  </si>
  <si>
    <t>TORNEIRA CROMADA DE PAREDE PARA COZINHA SEM AREJADOR, PADRAO POPULAR, 1/2 " OU 3/4 " (REF 1158)</t>
  </si>
  <si>
    <t>TORNEIRA DE PAREDE, PARA LAVATÓRIO / BANCADA, CROMADA. H=157MM; C=296MM; L=50MM.</t>
  </si>
  <si>
    <t>FITA VEDA ROSCA EM ROLOS DE 18 MM X 10 M (L X C)</t>
  </si>
  <si>
    <t>Composição : 18.016.0030-A</t>
  </si>
  <si>
    <t>BANCADA EM AÇO INOX AISE 304, COM UMA CUBA (APROX. 500X400X250MM), PÉS TUBULARES, GRADEADO INFERIOR, ESPELHO E RODOPIA. MEDIDAS : 1200x600MM</t>
  </si>
  <si>
    <t>BANCADA EM AÇO INOX AISE 304, COM UMA CUBA (APROX. 500X400X250MM), PÉS TUBULARES, GRADEADO INFERIOR, ESPELHO E RODOPIA. MEDIDAS : 1500X600MM.</t>
  </si>
  <si>
    <t>BANCADA EM AÇO INOX AISE 304, COM UMA CUBA (APROX. 500X400X250MM), PÉS TUBULARES, GRADEADO INFERIOR, ESPELHO E RODOPIA. MEDIDAS : 2000X600MM.</t>
  </si>
  <si>
    <t>BANCADA EM AÇO INOX AISE 304, COM UMA CUBA (APROX. 500X400X250MM) E 1 EXPURGO  Ø 300 MM, PÉS TUBULARES, GRADEADO INFERIOR, ESPELHO E RODOPIA. Medidas : 2000x600MM</t>
  </si>
  <si>
    <t xml:space="preserve">BANCADA EM AÇO INOX AISE 304, COM UMA CUBA (APROX. 500X400X250MM), PÉS TUBULARES, GRADEADO INFERIOR, ESPELHO E RODOPIA. MEDIDAS : 1200x600MM. FORNECIMENTO E COLOCACAO (OBS.:3%-DESGASTE DE FERRAMENTAS E EPI).                  </t>
  </si>
  <si>
    <t xml:space="preserve">BANCADA EM AÇO INOX AISE 304, COM UMA CUBA (APROX. 500X400X250MM), PÉS TUBULARES, GRADEADO INFERIOR, ESPELHO E RODOPIA. MEDIDAS : 1500X600MM.  FORNECIMENTO E COLOCACAO (OBS.:3%-DESGASTE DE FERRAMENTAS E EPI).                              </t>
  </si>
  <si>
    <t xml:space="preserve">BANCADA EM AÇO INOX AISE 304, COM UMA CUBA (APROX. 500X400X250MM), PÉS TUBULARES, GRADEADO INFERIOR, ESPELHO E RODOPIA. MEDIDAS : 2000X600MM.    FORNECIMENTO E COLOCACAO (OBS.:3%-DESGASTE DE FERRAMENTAS E EPI).                           </t>
  </si>
  <si>
    <t xml:space="preserve">BANCADA EM AÇO INOX AISE 304, COM UMA CUBA (APROX. 500X400X250MM) E 1 EXPURGO  Ø 300 MM, PÉS TUBULARES, GRADEADO INFERIOR, ESPELHO E RODOPIA. Medidas : 2000x600MM. FORNECIMENTO E COLOCACAO (OBS.:3%-DESGASTE DE FERRAMENTAS E EPI).                               </t>
  </si>
  <si>
    <t>Composição : 18.002.0012-0</t>
  </si>
  <si>
    <t>03911</t>
  </si>
  <si>
    <t>LAVATORIO DE LOUCA BRANCA, TIPO MEDIO LUXO, MEDINDO EM TORNO DE (47X35)CM, INCLUSIVE ACESSORIOS DE FIXACAO</t>
  </si>
  <si>
    <t>03902</t>
  </si>
  <si>
    <t>TORNEIRA DE PRESSAO DE 1/2", SEM AREJADOR</t>
  </si>
  <si>
    <t>TORNEIRA DE MESA, PARA LAVATÓRIO, CROMADA. H=260MM; C=245MM; L=50MM.</t>
  </si>
  <si>
    <t>03901</t>
  </si>
  <si>
    <t>SIFAO EM METAL CROMADO, DE 1"X1.1/4"</t>
  </si>
  <si>
    <t>02355</t>
  </si>
  <si>
    <t>VALVULA DE ESCOAMENTO, P/LAVATORIO, 1603, EM METAL CROMADO, DE 1"</t>
  </si>
  <si>
    <t xml:space="preserve">ESQUADRIAS DE ALUMÍNIO  E FERRAGENS </t>
  </si>
  <si>
    <t>So000091341</t>
  </si>
  <si>
    <t>PORTA EM ALUMÍNIO DE ABRIR TIPO VENEZIANA COM GUARNIÇÃO, FIXAÇÃO COM PARAFUSOS - FORNECIMENTO E INSTALAÇÃO. AF_08/2015</t>
  </si>
  <si>
    <t>PORTA DE ABRIR EM ALUMINIO TIPO VENEZIANA, ACABAMENTO ANODIZADO NATURAL, SEM GUARNICAO/ALIZAR/VISTA, 87 X 210 CM</t>
  </si>
  <si>
    <t>GUARNICAO/MOLDURA DE ACABAMENTO PARA ESQUADRIA DE ALUMINIO ANODIZADO NATURAL, PARA 1 FACE</t>
  </si>
  <si>
    <t>SELANTE ELASTICO MONOCOMPONENTE A BASE DE POLIURETANO PARA JUNTAS DIVERSAS</t>
  </si>
  <si>
    <t>310ML</t>
  </si>
  <si>
    <t>07799</t>
  </si>
  <si>
    <t>05499</t>
  </si>
  <si>
    <t>DOBRADICA EM ACO LAMINADO CROMADO, EIXODE FERRO, DE 3"X3"</t>
  </si>
  <si>
    <t>Composição : 14.007.0010-0</t>
  </si>
  <si>
    <t>18.016.0105-0</t>
  </si>
  <si>
    <t>BARRA DE APOIO EM ACO INOXIDAVEL AISI 304,TUBO DE 1.1/4",INCLUSIVE FIXACAO COM PARAFUSOS INOXIDAVEIS E BUCHAS PLASTICAS, COM 50CM,PARA PESSOAS COM NECESSIDADES ESPECIFICAS.FORNECIMENTO E COLOCACAO (OBS.:3%-DESGASTE DE FERRAMENTAS E EPI).</t>
  </si>
  <si>
    <t>13146</t>
  </si>
  <si>
    <t>BARRA DE APOIO, EM ACO INOXIDAVEL AISI 304, TUBO DE 1.1/4", COM 50CM</t>
  </si>
  <si>
    <t>PORTAS (0,80x2,10m=1,68m2 x 13unid= 21,84m2) EM ALUMÍNIO DE ABRIR TIPO VENEZIANA COM GUARNIÇÃO, FIXAÇÃO COM PARAFUSOS - FORNECIMENTO E INSTALAÇÃO. AF_08/2015</t>
  </si>
  <si>
    <t>PORTAS (0,90x2,10m=1,89m2 x 12unid= 22,68m2) EM ALUMÍNIO DE ABRIR TIPO VENEZIANA COM GUARNIÇÃO, FIXAÇÃO COM PARAFUSOS - FORNECIMENTO E INSTALAÇÃO. AF_08/2015</t>
  </si>
  <si>
    <t>PORTAS DE 1 FOLHA DE ABRIR</t>
  </si>
  <si>
    <t>PORTAS DE 2 FOLHAS DE ABRIR</t>
  </si>
  <si>
    <t>PORTA (1,20x2,10=2,52m2 x 1 unid) EM ALUMÍNIO DE ABRIR TIPO VENEZIANA COM GUARNIÇÃO, FIXAÇÃO COM PARAFUSOS - FORNECIMENTO E INSTALAÇÃO. AF_08/2015</t>
  </si>
  <si>
    <t>13753</t>
  </si>
  <si>
    <t>DOBRADICA 3"X3" EM LATAO CROMADO, COM PINOS, BOLAS E ANEIS DE LATAO</t>
  </si>
  <si>
    <t>07800</t>
  </si>
  <si>
    <t>FECHADURA DE EMBUTIR EM LATAO CROMADO, P/PORTA EXT.,MACANETA TIPO ALAVANCA ZAMAK, DIST. 55MM E PROFUND. 80MM</t>
  </si>
  <si>
    <t>07039</t>
  </si>
  <si>
    <t>FECHO DE EMBUTIR COM ALAVANCA, TIPO UNHA, DE 20CM</t>
  </si>
  <si>
    <t>Composição : 14.007.0025-0</t>
  </si>
  <si>
    <t>Composição : SI000095471</t>
  </si>
  <si>
    <t>BACIA SANITARIA (VASO) CONVENCIONAL PARA PCD SEM FURO FRONTAL, DE LOUCA BRANCA, SEM ASSENTO</t>
  </si>
  <si>
    <t>VEDACAO PVC, 100 MM, PARA SAIDA VASO SANITARIO</t>
  </si>
  <si>
    <t>PARAFUSO NIQUELADO COM ACABAMENTO CROMADO PARA FIXAR PECA SANITARIA, INCLUI PORCA CEGA, ARRUELA E BUCHA DE NYLON TAMANHO S-10</t>
  </si>
  <si>
    <t>VASO SANITARIO SIFONADO, PARA PCD,  SEM FURO FRONTAL, DE  LOUÇA BRANCA, COM ASSENTO, COM CAIXA ACOPLADA DE LOUÇA BRANCA. H=440mm; C=610mm; L=360mm.</t>
  </si>
  <si>
    <t>So000086932</t>
  </si>
  <si>
    <t>18.005.0015-0</t>
  </si>
  <si>
    <t>VASO SANITÁRIO SIFONADO COM CAIXA ACOPLADA LOUÇA BRANCA - PADRÃO MÉDIO, INCLUSO ENGATE FLEXÍVEL EM METAL CROMADO, 1/2 X 40CM - FORNECIMENTO E INSTALAÇÃO. AF_12/2013</t>
  </si>
  <si>
    <t>ASSENTO SANITARIO DE PLASTICO,TIPO MEDIO LUXO.FORNECIMENTO E COLOCACAO (OBS.:3%-DESGASTE DE FERRAMENTAS E EPI).</t>
  </si>
  <si>
    <t>03927</t>
  </si>
  <si>
    <t>ASSENTO PLASTICO, PARA VASO SANITARIO, TIPO MEDIO LUXO</t>
  </si>
  <si>
    <t>18.016.0106-0</t>
  </si>
  <si>
    <t>BARRA DE APOIO EM ACO INOXIDAVEL AISI 304,TUBO DE 1.1/4",INCLUSIVE FIXACAO COM PARAFUSOS INOXIDAVEIS E BUCHAS PLASTICAS, COM 80CM,PARA PESSOAS COM NECESSIDADES ESPECIFICAS.FORNECIMENTO E COLOCACAO (OBS.:3%-DESGASTE DE FERRAMENTAS E EPI).</t>
  </si>
  <si>
    <t>13147</t>
  </si>
  <si>
    <t>BARRA DE APOIO, EM ACO INOXIDAVEL AISI 304, TUBO DE 1.1/4", COM 80CM</t>
  </si>
  <si>
    <t>18.007.0051-0</t>
  </si>
  <si>
    <t>DUCHINHA MANUAL,COM REGISTRO DE PRESSAO 1/2" CROMADO,RABICHO CROMADO,SUPORTE BRANCO,PISTOLA BRANCA,BUCHAS E PARAFUSOS PA RA FIXACAO.FORNECIMENTO</t>
  </si>
  <si>
    <t>02988</t>
  </si>
  <si>
    <t>DUCHINHA MANUAL, COM MANGUEIRA CROMADA DE 1/2"</t>
  </si>
  <si>
    <t>15.004.0059-0</t>
  </si>
  <si>
    <t>INSTALACAO E ASSENTAMENTO DE DUCHINHA MANUAL PARA BANHEIRO(EXCLUSIVE FORNECIMENTO DO APARELHO),COMPREENDENDO:3,00M DE TU BO DE PVC DE 25MM E CONEXOES (OBS.:3%-DESGASTE DE FERRAMENTAS E EPI).</t>
  </si>
  <si>
    <t>05780</t>
  </si>
  <si>
    <t>JOELHO 90§ DE PVC SOLDAVEL COM BUCHA DELATAO, DE 25MMX1/2"</t>
  </si>
  <si>
    <t>05734</t>
  </si>
  <si>
    <t>JOELHO 90§ DE PVC SOLDAVEL, DE 025MM</t>
  </si>
  <si>
    <t>05732</t>
  </si>
  <si>
    <t>TE 90§ DE PVC RIGIDO SOLDAVEL, DE 025MM</t>
  </si>
  <si>
    <t>05103</t>
  </si>
  <si>
    <t>SOLVENTE (SOLUCAO LIMPADORA) P/CONEXOESDE PVC, EM FRASCOS PLASTICOS DE 1000CM3</t>
  </si>
  <si>
    <t>02385</t>
  </si>
  <si>
    <t>LIXA D'AGUA N§ 100</t>
  </si>
  <si>
    <t xml:space="preserve">Fornecimento + Instalação </t>
  </si>
  <si>
    <t>DUCHINHA MANUAL,COM REGISTRO DE PRESSAO 1/2" CROMADO,RABICHO CROMADO,SUPORTE BRANCO,PISTOLA BRANCA,BUCHAS E PARAFUSOS PA RA FIXACAO.FORNECIMENTO E INSTALAÇÃO</t>
  </si>
  <si>
    <t>So000095544</t>
  </si>
  <si>
    <t>PAPELEIRA DE PAREDE EM METAL CROMADO SEM TAMPA, INCLUSO FIXAÇÃO. AF_10/2016</t>
  </si>
  <si>
    <t>PAPELEIRA DE PAREDE EM METAL CROMADO SEM TAMPA</t>
  </si>
  <si>
    <t>So000095543</t>
  </si>
  <si>
    <t>PORTA TOALHA BANHO EM METAL CROMADO, TIPO BARRA, INCLUSO FIXAÇÃO. AF_10/2016</t>
  </si>
  <si>
    <t>PORTA TOALHA BANHO EM METAL CROMADO, TIPO BARRA</t>
  </si>
  <si>
    <t>So000095547</t>
  </si>
  <si>
    <t>SABONETEIRA PLASTICA TIPO DISPENSER PARA SABONETE LIQUIDO COM RESERVATORIO 800 A 1500 ML, INCLUSO FIXAÇÃO. AF_10/2016</t>
  </si>
  <si>
    <t>SABONETEIRA PLASTICA TIPO DISPENSER PARA SABONETE LIQUIDO COM RESERVATORIO 800 A 1500 ML</t>
  </si>
  <si>
    <t>So74125/002</t>
  </si>
  <si>
    <t>ESPELHO CRISTAL ESPESSURA 4MM, COM MOLDURA EM ALUMINIO E COMPENSADO 6MM PLASTIFICADO COLADO</t>
  </si>
  <si>
    <t>ESPELHO CRISTAL E = 4 MM</t>
  </si>
  <si>
    <t>ADITIVO ADESIVO LIQUIDO PARA ARGAMASSAS DE REVESTIMENTOS CIMENTICIOS</t>
  </si>
  <si>
    <t>CHAPA DE MADEIRA COMPENSADA NAVAL (COM COLA FENOLICA), E = 6 MM, DE *1,60 X 2,20* M</t>
  </si>
  <si>
    <t>CANTONEIRA ALUMINIO ABAS DESIGUAIS 1" X 3/4 ", E = 1/8 "</t>
  </si>
  <si>
    <t>VIDRACEIRO COM ENCARGOS COMPLEMENTARES</t>
  </si>
  <si>
    <t>So000009535</t>
  </si>
  <si>
    <t>CHUVEIRO ELETRICO COMUM CORPO PLASTICO TIPO DUCHA, FORNECIMENTO E INSTALACAO</t>
  </si>
  <si>
    <t>CHUVEIRO COMUM EM PLASTICO BRANCO, COM CANO, 3 TEMPERATURAS, 5500 W (110/220 V)</t>
  </si>
  <si>
    <t xml:space="preserve">Box c/ Vidro Temperado Incolor (Formato linear: 1,60mx h=1,90m=3,04m2, E=8mm)   </t>
  </si>
  <si>
    <t xml:space="preserve">Box c/ Vidro Temperado Incolor (1,61mxh=1,90m=3,06m2, E=8mm)    </t>
  </si>
  <si>
    <t>SILICONE ACETICO USO GERAL INCOLOR 280 G</t>
  </si>
  <si>
    <t>PARAFUSO DE ACO ZINCADO COM ROSCA SOBERBA, CABECA CHATA E FENDA SIMPLES, DIAMETRO 4,2 MM, COMPRIMENTO * 32 * MM</t>
  </si>
  <si>
    <t>JANELA MAXIM AR EM ALUMINIO, 80 X 60 CM (A X L), BATENTE/REQUADRO DE 4 A 14 CM, COM VIDRO, SEM GUARNICAO/ALIZAR</t>
  </si>
  <si>
    <t>14.003.0165-0</t>
  </si>
  <si>
    <t>PERFIL DE ALUMINIO PARA FIXACAO DE VIDRO(BAGUETE),INCLUSIVE MANGUEIRA CRISTAL,DIAMETRO 3/8".FORNECIMENTO E COLOCACAO (OBS.:3%-DESGASTE DE FERRAMENTAS E EPI).</t>
  </si>
  <si>
    <t>11442</t>
  </si>
  <si>
    <t>MANGUEIRA CRISTAL DE 3/8"</t>
  </si>
  <si>
    <t>00022</t>
  </si>
  <si>
    <t>ALUMINIO EM PERFIL TUBULAR EXTRUDADO, LIGA COMUM</t>
  </si>
  <si>
    <t>06913</t>
  </si>
  <si>
    <t>MAO-DE-OBRA DE SERRALHEIRO DA CONSTRUCAOCIVIL, INCLUSIVE ENCARGOS SOCIAIS</t>
  </si>
  <si>
    <t>JANELAS MAXIM-AR, COM VIDRO FANTASIA DE 4MM</t>
  </si>
  <si>
    <t>Composição : So000094569</t>
  </si>
  <si>
    <t>Janela (0,84m2 x R$ 389,07=R$326,82) + Contramarco (1,40+0,6x2=4,00mxR$22,43=R$89,72)=R$416,54 / 0,84m2= R$ 495,88/m2</t>
  </si>
  <si>
    <t>Composição (01) : So000094569</t>
  </si>
  <si>
    <t>Janela (0,96m2 x R$ 389,07=R$373,51) + Contramarco (1,60+0,60x2=4,40mxR$22,43=R$98,69)=R$472,20 / 0,96m2= R$ 491,88/m2</t>
  </si>
  <si>
    <t>Composição : 14.003.0076-0</t>
  </si>
  <si>
    <t>Composição (01) : 14.003.0076-0</t>
  </si>
  <si>
    <t>14.004.0120-0</t>
  </si>
  <si>
    <t>05518</t>
  </si>
  <si>
    <t>VIDRO TEMPERADO INCOLOR, COLOCADO, COM ESPESSURA DE 10MM</t>
  </si>
  <si>
    <t>14.007.0175-0</t>
  </si>
  <si>
    <t>FERRAGENS PARA PORTAS (CONJUNTO COMPLETO) DE 2 FOLHAS COM BANDEIRA DE VIDRO TEMPERADO DE 10MM, CONSTANDO DE FORNECIMENTO SEM COLOCACAO (ESTA INCLUIDA NO FORNECIMENTO E COLOCACAO DOVIDRO),EXCLUSIVE MOLA HIDRAULICA DE PISO(VIDE ITEM 14.007.01 90)</t>
  </si>
  <si>
    <t>05533</t>
  </si>
  <si>
    <t>PIVO, PARA VIDRO TEMPERADO DE 10MM</t>
  </si>
  <si>
    <t>05532</t>
  </si>
  <si>
    <t>CONTRA PINO DE PISO, PARA VIDRO TEMPERADO DE 10MM</t>
  </si>
  <si>
    <t>05528</t>
  </si>
  <si>
    <t>PUXADOR STANDARD, DE MADEIRA, PARA VIDROTEMPERADO DE 10MM</t>
  </si>
  <si>
    <t>05527</t>
  </si>
  <si>
    <t>SUPORTE COM APARADOR, PARA VIDRO TEMPERADO DE 10MM</t>
  </si>
  <si>
    <t>05526</t>
  </si>
  <si>
    <t>TRINCO DE PISO, PARA VIDRO TEMPERADO DE10MM</t>
  </si>
  <si>
    <t>05525</t>
  </si>
  <si>
    <t>CONTRA-FECHADURA, PARA VIDRO TEMPERADO DE 10MM</t>
  </si>
  <si>
    <t>05524</t>
  </si>
  <si>
    <t>FECHADURA DE CENTRO, PARA VIDRO TEMPERADO, DE 10MM</t>
  </si>
  <si>
    <t>05523</t>
  </si>
  <si>
    <t>DOBRADICA SUPERIOR, PARA VIDRO TEMPERADO, DE 10MM</t>
  </si>
  <si>
    <t>05522</t>
  </si>
  <si>
    <t>SUPORTE DE BATENTE, PARA VIDRO TEMPERADODE 10MM</t>
  </si>
  <si>
    <t>05521</t>
  </si>
  <si>
    <t>DOBRADICA INFERIOR, PARA VIDRO TEMPERADO, DE 10MM</t>
  </si>
  <si>
    <t>05520</t>
  </si>
  <si>
    <t>SUPORTE SIMPLES CANTO, PARA VIDRO TEMPERADO DE 10MM</t>
  </si>
  <si>
    <t>05519</t>
  </si>
  <si>
    <t>SUPORTE DUPLO HORIZONTAL, PARA VIDRO TEMPERADO DE 10MM</t>
  </si>
  <si>
    <t>14.007.0190-0</t>
  </si>
  <si>
    <t>05531</t>
  </si>
  <si>
    <t>MOLA HIDRAULICA DE PISO PARA VIDRO TEMPERADO DE 10MM</t>
  </si>
  <si>
    <t>PORTA (1,60x2,10m=3,36m2x1 unid) DE VIDRO TEMPERADO INCOLOR, 10MM DE ESPESSURA, 2 FOLHAS DE ABRIR, PARA PORTAS OU PAINEIS FIXOS,E XCLUSIVE FERRAGENS. FORNECIMENTO E COLOCACAO</t>
  </si>
  <si>
    <t>FERRAGENS PARA PORTAS (CONJUNTO COMPLETO) DE 2 FOLHAS COM BANDEIRA DE VIDRO TEMPERADO DE 10MM, CONSTANDO DE FORNECIMENTO SEM COLOCACAO (ESTA INCLUIDA NO FORNECIMENTO E COLOCACAO DOVIDRO), EXCLUSIVE MOLA HIDRAULICA DE PISO(VIDE ITEM 14.007.01 90)</t>
  </si>
  <si>
    <t>PORTA (1,60x2,10m=3,36m2 x 1unid) EM ALUMÍNIO DE ABRIR TIPO VENEZIANA COM GUARNIÇÃO, FIXAÇÃO COM PARAFUSOS - FORNECIMENTO E INSTALAÇÃO. AF_08/2015</t>
  </si>
  <si>
    <t>So000072118</t>
  </si>
  <si>
    <t>VIDRO TEMPERADO INCOLOR, ESPESSURA 6MM, FORNECIMENTO E INSTALACAO, INCLUSIVE MASSA PARA VEDACAO</t>
  </si>
  <si>
    <t>VIDRO TEMPERADO INCOLOR E = 6 MM, SEM COLOCACAO</t>
  </si>
  <si>
    <t>MASSA PARA VIDRO</t>
  </si>
  <si>
    <t>JANELAS MAXIM-AR</t>
  </si>
  <si>
    <t>REVESTIMENTOS DE PAREDES</t>
  </si>
  <si>
    <t>So000087879</t>
  </si>
  <si>
    <t>13.003.0010-0</t>
  </si>
  <si>
    <t>REVESTIMENTO INTERNO,EMBOCO,DE UMA VEZ,COM ARGAMASSA DE CIMENTO,CAL HIDRATADA ADITIVADA E AREIA,NO TRACO 1:1:8,COM ESPES SURA DE 2CM,ACABAMENTO CAMURCADO,APLICADO SOBRE SUPERFICIE CHAPISCADA,EXCLUSIVE CHAPISCO (OBS.:3%-DESGASTE DE FERRAMENTAS E EPI).</t>
  </si>
  <si>
    <t>13.001.0036-0</t>
  </si>
  <si>
    <t>REGULARIZAÇÃO DE SUPERFÍCIES COM EMBOÇO : EMBOCO INTERNO COM ARGAMASSA DE CIMENTO,CAL HIDRATADA ADITIVADA E AREIA,NO TRACO 1:1:8,COM ESPESSURA DE 1,5CM,EXCLUSIVE CHAPISCO (OBS.:3%-DESGASTE DE FERRAMENTAS E EPI).</t>
  </si>
  <si>
    <t>Composição : So000087273</t>
  </si>
  <si>
    <t>REJUNTE COLORIDO, CIMENTICIO</t>
  </si>
  <si>
    <t>ARGAMASSA COLANTE AC I PARA CERAMICAS</t>
  </si>
  <si>
    <t>REVESTIMENTO EM CERAMICA ESMALTADA EXTRA, PEI MENOR OU IGUAL A 3, FORMATO MENOR OU IGUAL A 2025 CM2</t>
  </si>
  <si>
    <t>PISO EM PORCELANATO RETIFICADO EXTRA, FORMATO MENOR OU IGUAL A 2025 CM2</t>
  </si>
  <si>
    <t>13.380.0010-0</t>
  </si>
  <si>
    <t>CIMENTO PORTLAND CP II 32, EM SACO DE 50KG</t>
  </si>
  <si>
    <t>01980</t>
  </si>
  <si>
    <t>MAO-DE-OBRA DE MARMORISTA DE MARMORITE,INCLUSIVE ENCARGOS SOCIAIS</t>
  </si>
  <si>
    <t>05078</t>
  </si>
  <si>
    <t>PEDRA ESMERIL, P/MAQUINA DE POLIMENTO, DE 6" DE GRANULOMETRIA 060</t>
  </si>
  <si>
    <t>05077</t>
  </si>
  <si>
    <t>PEDRA ESMERIL, P/MAQUINA DE POLIMENTO, DE 6" COM GRANULOMETRIA 036</t>
  </si>
  <si>
    <t>02030</t>
  </si>
  <si>
    <t>19.006.0050-4 MAQUINA POLIDORA 4HP (CI)</t>
  </si>
  <si>
    <t>02029</t>
  </si>
  <si>
    <t>19.006.0050-2 MAQUINA POLIDORA 4HP (CP)</t>
  </si>
  <si>
    <t>13.301.0131-0</t>
  </si>
  <si>
    <t>01607</t>
  </si>
  <si>
    <t>07.002.0030-1 ARGAMASSA CIM.,AREIA TRACO 1:4,PREPAROMECANICO</t>
  </si>
  <si>
    <t>(+)</t>
  </si>
  <si>
    <t>JUNTA PLASTICA 17X3MM,PARA PISOS CONTINUOS.FORNECIMENTO E COLOCACAO (OBS.:3%-DESGASTE DE FERRAMENTAS E EPI).</t>
  </si>
  <si>
    <t>TOTAL por M2</t>
  </si>
  <si>
    <t>OBS.: Quadros de 1,00m, para uma área média de 10,89m2.</t>
  </si>
  <si>
    <t>So000087260</t>
  </si>
  <si>
    <t>REVESTIMENTO CERÂMICO PARA PISO COM PLACAS TIPO PORCELANATO DE DIMENSÕES 45X45 CM APLICADA EM AMBIENTES DE ÁREA MAIOR QUE 10 M². AF_06/2014</t>
  </si>
  <si>
    <t>ARGAMASSA COLANTE TIPO ACIII</t>
  </si>
  <si>
    <t>Composição : 13.380.0015-0</t>
  </si>
  <si>
    <r>
      <t xml:space="preserve">RODAPE DE MARMORITE, FUNDIDO NO LOCAL, COM  7CM   </t>
    </r>
    <r>
      <rPr>
        <strike/>
        <sz val="9"/>
        <rFont val="Times New Roman"/>
        <family val="1"/>
      </rPr>
      <t>10CM</t>
    </r>
    <r>
      <rPr>
        <sz val="9"/>
        <rFont val="Times New Roman"/>
        <family val="1"/>
      </rPr>
      <t xml:space="preserve"> DE ALTURA, 1CM DE ESPESSURA, TERMINANDO EM CANTO RETO JUNTO AO PISO, FEITO COM CIMENTO E GRANA Nº1 DE MARMORE BRANCO NACIONAL, COM POLIMENTO MANUAL, O MARMORITE E EXECUTADO SOBRE EMBOCO PREVIO NAO INCLUIDO NESTA (OBS.:3%-DESGASTE DE FERRAMENTAS E EPI).</t>
    </r>
  </si>
  <si>
    <t>So000097631</t>
  </si>
  <si>
    <t>Demolição de Emboço para colocação de Rodapé de Marmorite : 220,26m x 0,07m = 15,418m2</t>
  </si>
  <si>
    <t>DEMOLIÇÃO DE EMBOÇO PARA COLOCAÇÂO DE RODAPÉ DE MARMORITE : DEMOLIÇÃO DE ARGAMASSAS, DE FORMA MANUAL, SEM REAPROVEITAMENTO. AF_12/2017</t>
  </si>
  <si>
    <t>REGULARIZAÇÃO DE EMBOÇO PARA COLOCAÇÃO DE RODAPÉ DE MARMORITE : EMBOCO INTERNO COM ARGAMASSA DE CIMENTO,CAL HIDRATADA ADITIVADA E AREIA,NO TRACO 1:1:8,COM ESPESSURA DE 1,5CM,EXCLUSIVE CHAPISCO (OBS.:3%-DESGASTE DE FERRAMENTAS E EPI).</t>
  </si>
  <si>
    <t>So000098689</t>
  </si>
  <si>
    <t>SOLEIRA EM GRANITO, LARGURA 15 CM, ESPESSURA 2,0 CM. AF_06/2018</t>
  </si>
  <si>
    <t>SOLEIRA EM GRANITO, POLIDO, TIPO ANDORINHA/ QUARTZ/ CASTELO/ CORUMBA OU OUTROS EQUIVALENTES DA REGIAO, L= *15* CM, E=  *2,0* CM</t>
  </si>
  <si>
    <t>13.348.0050-0</t>
  </si>
  <si>
    <t>11200</t>
  </si>
  <si>
    <t>PEITORIL GRANITO CINZA ANDORINHA, 18X2CM</t>
  </si>
  <si>
    <t>01976</t>
  </si>
  <si>
    <t>MAO-DE-OBRA DE MARMORISTA DE MARMORE E GRANITO, INCLUSIVE ENCARGOS SOCIAIS</t>
  </si>
  <si>
    <t>03429</t>
  </si>
  <si>
    <t>07.001.0130-1 ARGAMASSA CIM.,SAIBRO,AREIA 1:3:3,PREPARO MANUAL</t>
  </si>
  <si>
    <t>03077</t>
  </si>
  <si>
    <t>07.001.0010-1 PASTA DE CIMENTO COMUM</t>
  </si>
  <si>
    <t>PEITORIL INTERNO : PEITORIL EM GRANITO CINZA ANDORINHA,ESPESSURA DE 2CM,LARGURA 15 A 18CM,ASSENTADO COM NATA DE CIMENTO SOBRE ARGAMASSA DE CIMENTO,SAIBRO E AREIA,NO TRACO 1:3:3 E REJUNTAMENTO COM CIMENTO BRANCO (OBS.:3%-DESGASTE DE FERRAMENTAS E EPI).</t>
  </si>
  <si>
    <t>Composição : 13.348.0050-0</t>
  </si>
  <si>
    <t>PEITORIL EXTERNO (COM REBAIXAMENTO) : PEITORIL EM GRANITO CINZA ANDORINHA,ESPESSURA DE 2CM,LARGURA 15 A 18CM,ASSENTADO COM NATA DE CIMENTO SOBRE ARGAMASSA DE CIMENTO,SAIBRO E AREIA,NO TRACO 1:3:3 E REJUNTAMENTO COM CIMENTO BRANCO (OBS.:3%-DESGASTE DE FERRAMENTAS E EPI).</t>
  </si>
  <si>
    <t>TETOS</t>
  </si>
  <si>
    <t>05.001.0876-0</t>
  </si>
  <si>
    <t>RASPAGEM COM ESPATULA DE ACO OU ESCOVA DE ACO PARA REMOCAO DE CRAQUELE DE PINTURA (OBS.:3%-DESGASTE DE FERRAMENTAS E EPI).</t>
  </si>
  <si>
    <t>So000088482</t>
  </si>
  <si>
    <t>APLICAÇÃO DE FUNDO SELADOR LÁTEX PVA EM TETO, UMA DEMÃO. AF_06/2014</t>
  </si>
  <si>
    <t>SELADOR PVA PAREDES INTERNAS</t>
  </si>
  <si>
    <t>So000088494</t>
  </si>
  <si>
    <t>So000088486</t>
  </si>
  <si>
    <t>APLICAÇÃO E LIXAMENTO DE MASSA LÁTEX EM TETO, UMA DEMÃO. AF_06/2014</t>
  </si>
  <si>
    <t>MASSA CORRIDA PVA PARA PAREDES INTERNAS</t>
  </si>
  <si>
    <t>18L</t>
  </si>
  <si>
    <t>APLICAÇÃO MANUAL DE PINTURA COM TINTA LÁTEX PVA EM TETO, DUAS DEMÃOS. AF_06/2014</t>
  </si>
  <si>
    <t>TINTA LATEX PVA PREMIUM, COR BRANCA</t>
  </si>
  <si>
    <t>17.018.0265-0</t>
  </si>
  <si>
    <t>PINTURA COM TINTA ACRILICA ACETINADA,PARA USO HOSPITALAR,SOBRE PAREDES E TETOS,INCLUSIVE LIXAMENTO,UMA DEMAO DE SELADOR ACRILICO,DUAS DEMAOS DE MASSA ACRILICA E DUAS DEMAOS DE ACABAMENTO (OBS.:3%- DESGASTE DE FERRAMENTAS E EPI).</t>
  </si>
  <si>
    <t>14496</t>
  </si>
  <si>
    <t>LIXA PARA MASSA</t>
  </si>
  <si>
    <t>14493</t>
  </si>
  <si>
    <t>TINTA ACRILICA ACETINADA, USO HOSPITALAR, PARA PAREDES E TETOS, NA COR BRANCA, EM LATA DE 18 LITROS</t>
  </si>
  <si>
    <t>06028</t>
  </si>
  <si>
    <t>SELADOR PIGMENTADO A BASE DE RESINA ACRILICA MODIFICADA, NA COR BRANCA</t>
  </si>
  <si>
    <t>03874</t>
  </si>
  <si>
    <t>MASSA ACRILILICA, EM BALDES DE 18 LITROS</t>
  </si>
  <si>
    <t>TOTAL GERAL, INCLUSIVE BDI</t>
  </si>
  <si>
    <t>18.005.0012-0</t>
  </si>
  <si>
    <t>PORTA-TOALHA DE PAPEL EM PLASTICO ABS.FORNECIMENTO E COLOCACAO (OBS.:3%-DESGASTE DE FERRAMENTAS E EPI).</t>
  </si>
  <si>
    <t>13108</t>
  </si>
  <si>
    <t>PORTA-TOALHA DE PAPEL,EM PLASTICO ABS</t>
  </si>
  <si>
    <t>01978</t>
  </si>
  <si>
    <t>MAO-DE-OBRA DE LADRILHEIRO, INCLUSIVE ENCARGOS SOCIAIS</t>
  </si>
  <si>
    <t xml:space="preserve">BOX C/VIDRO TEMPERADO INCOLOR (FORMATO LINEAR : 1,60mx h=1,90m=3,04m2, E=8mm)   </t>
  </si>
  <si>
    <t xml:space="preserve">BOX C/VIDRO TEMPERADO INCOLOR (1,61mxh=1,90m=3,06m2, E=8mm)    </t>
  </si>
  <si>
    <t>TÊ DE REDUÇÃO, PVC, SOLDÁVEL, DN 25MM X 20MM, INSTALADO EM RAMAL OU SUB-RAMAL DE ÁGUA   - FORNECIMENTO E INSTALAÇÃO. AF_12/2014</t>
  </si>
  <si>
    <r>
      <t xml:space="preserve">CAIXA ENTERRADA / INSPEÇÃO HIDRÁULICA RETANGULAR EM ALVENARIA COM TIJOLOS CERÂMICOS MACIÇOS, DIMENSÕES INTERNAS: 0,6X0,6X0,6 M PARA REDE DE ESGOTO. AF_05/2018, </t>
    </r>
    <r>
      <rPr>
        <b/>
        <i/>
        <u/>
        <sz val="9"/>
        <color theme="1"/>
        <rFont val="Times New Roman"/>
        <family val="1"/>
      </rPr>
      <t>INCLUSIVE</t>
    </r>
    <r>
      <rPr>
        <sz val="9"/>
        <color theme="1"/>
        <rFont val="Times New Roman"/>
        <family val="1"/>
      </rPr>
      <t xml:space="preserve">  TAMPA CIRCULAR PARA ESGOTO E DRENAGEM, EM FERRO FUNDIDO, DIÂMETRO INTERNO = 0,6 M. AF_05/2018</t>
    </r>
  </si>
  <si>
    <t xml:space="preserve">Caixa Sifonada com Tampa Cega Metálica Diâmetro de (Aprox. Ø 30CM, 388x249x100mm), com 3 Entradas e 1 Saída    </t>
  </si>
  <si>
    <t>13150</t>
  </si>
  <si>
    <t>BARRA DE APOIO RETRATIL (ARTICULADA) EMACO INOXIDAVEL AISI 304, TUBO DE 1.1/4",COM 80CM</t>
  </si>
  <si>
    <t>Composição : 18.016.0120-0</t>
  </si>
  <si>
    <t>BARRA DE APOIO RETRATIL (ARTICULADA) EM ACO INOXIDAVEL AISI 304, em  "U'  TUBO DE 1.1/4", INCLUSIVE FIXACAO COM PARAFUSOS INOXIDAVEIS E BUCHAS PLASTICAS, COM 25CM a 30CM</t>
  </si>
  <si>
    <t>Arqª Rosália, Arqº Abimar, Arqª Lélia</t>
  </si>
  <si>
    <t>Posição em 18/Jul/2019</t>
  </si>
  <si>
    <t>05.001.0350-0</t>
  </si>
  <si>
    <t>LIMPEZA DE VIDROS,FEITA NOS DOIS LADOS,CONTADO UM LADO (OBS.:12%-MATERIAL DE LIMPEZA).</t>
  </si>
  <si>
    <t>05.001.0365-0</t>
  </si>
  <si>
    <t>05.001.0385-0</t>
  </si>
  <si>
    <t>LIMPEZA DE PAREDES REVESTIDAS DE CERAMICAS OU AZULEJOS (OBS.:20%-MATERIAL DE LIMPEZA).</t>
  </si>
  <si>
    <t>05.001.0370-0</t>
  </si>
  <si>
    <t>LIMPEZA DE APARELHOS SANITARIOS,INCLUSIVE METAIS (OBS.:12%-MATERIAL DE LIMPEZA).</t>
  </si>
  <si>
    <t>LIMPEZA DE PISOS CERAMICOS e MARMORITE. (OBS.:20%-MATERIAL DE LIMPEZA).</t>
  </si>
  <si>
    <t>02.006.0050-0</t>
  </si>
  <si>
    <t>UNXMES</t>
  </si>
  <si>
    <t>13648</t>
  </si>
  <si>
    <t>ALUGUEL DE BANHEIRO QUIM.,2,31X1,56X1,16(MED. APROX),INCL.INST.,RETIRADA,FORN.QUIMICA DESOD.E BACT.,P.HIG.,UN.MOV.SUCCAO</t>
  </si>
  <si>
    <t>UNXME</t>
  </si>
  <si>
    <t>ALUGUEL DE BANHEIRO QUIMICO, PORTATIL, MEDINDO 2,31M ALTURA X 1,56M LARGURA E 1,16M PROFUNDIDADE, INCLUSIVE INSTALACAO E RETIRADA DO EQUIPAMENTO, FORNECIMENTO DE QUIMICA DESODORIZANTE, BACTERICIDA E BACTERIOSTATICA, PAPEL HIGIENICO E VEICULO PROP RIO COM UNIDADE MOVEL DE SUCCAO PARA LIMPEZA</t>
  </si>
  <si>
    <t>13.301.0118-0</t>
  </si>
  <si>
    <t>REGULARIZAÇÃO DE CONTRAPISO : CONTRAPISO, BASE OU CAMADA REGULARIZADORA EXECUTADA COM ARGAMASSA DE CIMENTO A AREIA,NO TRACO 1:4, NA ESPESSURA DE 1,5CM (OBS.:3%-DESGASTE DE FERRAMENTAS E EPI).</t>
  </si>
  <si>
    <t>02.002.0007-0</t>
  </si>
  <si>
    <t>13732</t>
  </si>
  <si>
    <t>TELHA TRAPEZOIDAL EM ACO GALVANIZADO, ESPESSURA DE 0,5MM</t>
  </si>
  <si>
    <t>TAPUME DE VEDACAO OU PROTECAO EXECUTADO COM TELHAS TRAPEZOIDAIS DE ACO GALVANIZADO, ESPESSURA DE 0,5MM, ESTAS COM 4 VEZES DE UTILIZACAO, INCLUSIVE ENGRADAMENTO DE MADEIRA, UTILIZADO 2VEZES, EXCLUSIVE PINTURA (OBS.:3% - DESGASTE DE FERRAMENTAS E EPI).</t>
  </si>
  <si>
    <t>02.001.0003-0</t>
  </si>
  <si>
    <t>01363</t>
  </si>
  <si>
    <t>CHAPA DE MADEIRA COMPENSADA, RESINADA, COM ESPESSURA DE 10MM</t>
  </si>
  <si>
    <t>TAPUME DE VEDACAO OU PROTECAO,EXECUTADO COM CHAPAS DE MADEIRA COMPENSADA, RESINADA, LISA, DE COLAGEM FENOLICA, A PROVA D'AGU A,COM 2,20X1,10M E 10MM DE ESPESSURA, PREGADAS EM PECAS DE MADEIRA DE 3ª DE 3"X3" HORIZONTAIS E VERTICAIS A CADA 1,22M, EXCLUSIVE PINTURA, COM REAPROVEITAMENTO 10 VEZES DE TODAS AS PECAS DE MADEIRA (OBS.:3% - DESGASTE DE FERRAMENTAS E EPI).</t>
  </si>
  <si>
    <t xml:space="preserve">REVESTIMENTOS DE PAREDES </t>
  </si>
  <si>
    <t xml:space="preserve">TORNEIRA DE MESA, PARA LAVATÓRIO, CROMADA. H=260MM; C=245MM; L=50MM.   </t>
  </si>
  <si>
    <t>OUTRAS INSTALAÇÕES</t>
  </si>
  <si>
    <t>18.032.0030-0</t>
  </si>
  <si>
    <t>EXTINTOR DE INCENDIO,TIPO PO QUIMICO,DE 6KG.FORNECIMENTO E COLOCACAO (OBS.:3%-DESGASTE DE FERRAMENTAS E EPI).</t>
  </si>
  <si>
    <t>05557</t>
  </si>
  <si>
    <t>EXTINTOR DE INCENDIO, TIPO PO QUIMICO, DE 6KG</t>
  </si>
  <si>
    <t>18.032.0012-0</t>
  </si>
  <si>
    <t>EXTINTOR DE INCENDIO,TIPO AGUA-PRESSURIZADA,DE 10L,INCLUSIVE SUPORTE DE PAREDE E CARGA COMPLETA.FORNECIMENTO E COLOCACAO (OBS.:3%-DESGASTE DE FERRAMENTAS E EPI).</t>
  </si>
  <si>
    <t>07064</t>
  </si>
  <si>
    <t>EXTINTOR DE INCENDIO, TIPO AGUA-PRESSURIZADA, DE 10 LITROS</t>
  </si>
  <si>
    <t>Composição</t>
  </si>
  <si>
    <t>18.027.0045-0</t>
  </si>
  <si>
    <t>LUMINARIA DE EMERGENCIA DE SOBREPOR,EM PLASTICO,EQUIPADA COM BATERIA SELADA RECARREGAVEL COM 30 LAMPADAS EM LED. FORNECI MENTO E COLOCACAO (OBS.:3%-DESGASTE DE FERRAMENTAS E EPI).</t>
  </si>
  <si>
    <t>13173</t>
  </si>
  <si>
    <t>LUMINARIA DE EMERGENCIA DE SOBREPOR, EMPLASTICO, EQUIPADA C/BATERIA SELADA RECARREGAVEL COM 30 LAMPADAS EM LED</t>
  </si>
  <si>
    <t>PLACAS DE SINALIZAÇÃO DE EMERGÊNCIA</t>
  </si>
  <si>
    <t>&gt; Placa Saída de Emergência</t>
  </si>
  <si>
    <t>&gt; Placa Saída Esquerda</t>
  </si>
  <si>
    <t xml:space="preserve">&gt; Placa Saída Direita </t>
  </si>
  <si>
    <t>&gt; Placa Extintor PQS</t>
  </si>
  <si>
    <t>&gt; Placa Extintor AP</t>
  </si>
  <si>
    <t>&gt; Placa  "Proibido Fumar"</t>
  </si>
  <si>
    <t>PREÇO MÉDIO UNITÁRIO</t>
  </si>
  <si>
    <t>RODAPÉS, SOLEIRA , PEITORIS</t>
  </si>
  <si>
    <r>
      <t>DEMOLIÇÃO DE REVESTIMENTO DE PISO DE MARMORITE</t>
    </r>
    <r>
      <rPr>
        <sz val="9"/>
        <color theme="1"/>
        <rFont val="Times New Roman"/>
        <family val="1"/>
      </rPr>
      <t>, DE FORMA MECANIZADA COM MARTELETE, SEM REAPROVEITAMENTO. AF_12/2017</t>
    </r>
  </si>
  <si>
    <r>
      <t>DEMOLICAO DE REVESTIMENTO EM AZULEJOS,</t>
    </r>
    <r>
      <rPr>
        <strike/>
        <sz val="9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PAREDE, EXCLUSIVE A CAMADA DE ASSENTAMENTO (OBS.:3%-DESGASTE DE FERRAMENTAS E EPI).</t>
    </r>
  </si>
  <si>
    <r>
      <t>RETIRADA DE DIVISORIAS EM CHAPAS DE EUCATEX</t>
    </r>
    <r>
      <rPr>
        <sz val="9"/>
        <rFont val="Times New Roman"/>
        <family val="1"/>
      </rPr>
      <t>, COM MONTANTES METALICOS</t>
    </r>
  </si>
  <si>
    <r>
      <t>REMOCAO CUIDADOSA DE DIVISORIA DE MARMORITE</t>
    </r>
    <r>
      <rPr>
        <sz val="9"/>
        <rFont val="Times New Roman"/>
        <family val="1"/>
      </rPr>
      <t xml:space="preserve"> (OBS.:3%-DESGASTE DE FERRAMENTAS E EPI).</t>
    </r>
  </si>
  <si>
    <r>
      <t>REMOÇÃO DE GRADES METÁLICAS,</t>
    </r>
    <r>
      <rPr>
        <sz val="9"/>
        <color theme="1"/>
        <rFont val="Times New Roman"/>
        <family val="1"/>
      </rPr>
      <t xml:space="preserve"> DE FORMA MANUAL, SEM REAPROVEITAMENTO. AF_12/2017</t>
    </r>
  </si>
  <si>
    <r>
      <t>REMOÇÃO DE APARELHOS ELÉTRICOS</t>
    </r>
    <r>
      <rPr>
        <sz val="9"/>
        <color theme="1"/>
        <rFont val="Times New Roman"/>
        <family val="1"/>
      </rPr>
      <t>, DE FORMA MANUAL, SEM REAPROVEITAMENTO. AF_12/2017</t>
    </r>
  </si>
  <si>
    <t xml:space="preserve">DESCARGA DE MATERIAL ARRANCADO / REMOVIDO   </t>
  </si>
  <si>
    <r>
      <t xml:space="preserve">PAREDE DIVISORIA PARA SANITARIO EM GRANITO CINZA CORUMBA, COM 3CM DE ESPESSURA, POLIDA NAS DUAS FACES, FIXACAO PISO OU PAREDE, INCLUSIVE </t>
    </r>
    <r>
      <rPr>
        <sz val="9"/>
        <color theme="1"/>
        <rFont val="Times New Roman"/>
        <family val="1"/>
      </rPr>
      <t>FERRAGENS PARA FIXACAO. FORNECIMENTO E COLOCACAO (OBS.:3%-DESGASTE DE FERRAMENTAS E EPI).</t>
    </r>
  </si>
  <si>
    <t>PLAFONIER EM ALUMINIO.FORNECIMENTO E COLOCACAO (OBS.:3%-DESGASTE DE FERRAMENTAS E EPI).</t>
  </si>
  <si>
    <r>
      <t>DISJUNTOR TRIPOLAR TIPO DIN, CORRENTE NOMINAL DE 60A</t>
    </r>
    <r>
      <rPr>
        <sz val="9"/>
        <color theme="1"/>
        <rFont val="Times New Roman"/>
        <family val="1"/>
      </rPr>
      <t xml:space="preserve"> - FORNECIMENTO E INSTALAÇÃO. AF_04/2016</t>
    </r>
  </si>
  <si>
    <r>
      <t xml:space="preserve">ENTRADA DE ENERGIA INDIVIDUAL, PADRAO LIGHT, MEDICAO DIRETA, REDE AEREA, DEMANDA ATE 8KVA, INCLUSIVE CAIXA POLIMÉRICA POLIFÁSICA  CM3  E CAIXA POLIMÉRICA PARA DISJUNTOR TRIPOLAR  CDJ3  </t>
    </r>
    <r>
      <rPr>
        <sz val="9"/>
        <color theme="1"/>
        <rFont val="Times New Roman"/>
        <family val="1"/>
      </rPr>
      <t>E DEMAIS MATERIAIS NECESSARIOS, EXCLUSIVE POSTE, DISJUNTOR E FIOS DE ENTRADA E SAIDA (OBS.:3%-DESGASTE DE FERRAMENTAS E EPI).</t>
    </r>
  </si>
  <si>
    <r>
      <t>CAIXA SIFONADA, PVC, DN  150x150x50mm</t>
    </r>
    <r>
      <rPr>
        <sz val="9"/>
        <color theme="1"/>
        <rFont val="Times New Roman"/>
        <family val="1"/>
      </rPr>
      <t>, JUNTA ELÁSTICA, FORNECIDA E INSTALADA EM RAMAL DE DESCARGA OU EM RAMAL DE ESGOTO SANITÁRIO. AF_12/2014</t>
    </r>
  </si>
  <si>
    <r>
      <t>GRELHA DE ACO INOX,  15x15CM</t>
    </r>
    <r>
      <rPr>
        <sz val="9"/>
        <color theme="1"/>
        <rFont val="Times New Roman"/>
        <family val="1"/>
      </rPr>
      <t>, SISTEMA ROTATIVO, COM CAIXILHO. FORNECIMENTO</t>
    </r>
  </si>
  <si>
    <r>
      <t xml:space="preserve">CAIXA SIFONADA COM TAMPA CEGA METÁLICA (Aprox. </t>
    </r>
    <r>
      <rPr>
        <sz val="9"/>
        <rFont val="Calibri"/>
        <family val="2"/>
      </rPr>
      <t>Ø</t>
    </r>
    <r>
      <rPr>
        <sz val="9"/>
        <rFont val="Times New Roman"/>
        <family val="1"/>
      </rPr>
      <t xml:space="preserve"> 30CM, 388x249x100mm), COM 3 ENTRADAS E 1 SAÍDA, PARA COLETA DE EXPURGO.   </t>
    </r>
    <r>
      <rPr>
        <strike/>
        <sz val="9"/>
        <rFont val="Times New Roman"/>
        <family val="1"/>
      </rPr>
      <t xml:space="preserve"> </t>
    </r>
    <r>
      <rPr>
        <sz val="9"/>
        <rFont val="Times New Roman"/>
        <family val="1"/>
      </rPr>
      <t>FORNECIDA E INSTALADA EM RAMAL DE DESCARGA OU EM RAMAL DE ESGOTO SANITÁRIO. AF_12/2014</t>
    </r>
  </si>
  <si>
    <r>
      <t xml:space="preserve">TUBO DE PVC RIGIDO DE 50MM,SOLDAVEL, INCLUSIVE </t>
    </r>
    <r>
      <rPr>
        <sz val="9"/>
        <color theme="1"/>
        <rFont val="Times New Roman"/>
        <family val="1"/>
      </rPr>
      <t>EMENDAS,EXCLUSIVE ABERTURA E FECHAMENTO DE RASGO.FORNECIMENTO E ASSENTAMENTO (OBS.:3%-DESGASTE DE FERRAMENTAS E EPI 10%-CONEXOES E EMENDAS).</t>
    </r>
  </si>
  <si>
    <r>
      <t xml:space="preserve">TUBO DE PVC RIGIDO DE 32MM,SOLDAVEL, INCLUSIVE </t>
    </r>
    <r>
      <rPr>
        <sz val="9"/>
        <color theme="1"/>
        <rFont val="Times New Roman"/>
        <family val="1"/>
      </rPr>
      <t>EMENDAS,EXCLUSIVE ABERTURA E FECHAMENTO DE RASGO.FORNECIMENTO E ASSENTAMENTO (OBS.:3%-DESGASTE DE FERRAMENTAS E EPI 10%-CONEXOES E EMENDAS).</t>
    </r>
  </si>
  <si>
    <r>
      <t xml:space="preserve">TUBO DE PVC RIGIDO DE 25MM,SOLDAVEL, INCLUSIVE </t>
    </r>
    <r>
      <rPr>
        <strike/>
        <sz val="9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EMENDAS,EXCLUSIVE ABERTURA E FECHAMENTO DE RASGO.FORNECIMENTO E ASSENTAMENTO (OBS.:3%-DESGASTE DE FERRAMENTAS E EPI 10%-CONEXOES E EMENDAS).</t>
    </r>
  </si>
  <si>
    <r>
      <t xml:space="preserve">TUBO DE PVC RIGIDO DE 20MM,SOLDAVEL, INCLUSIVE </t>
    </r>
    <r>
      <rPr>
        <strike/>
        <sz val="9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EMENDAS,EXCLUSIVE ABERTURA E FECHAMENTO DE RASGO.FORNECIMENTO E ASSENTAMENTO (OBS.:3%-DESGASTE DE FERRAMENTAS E EPI 10%-CONEXOES E EMENDAS).</t>
    </r>
  </si>
  <si>
    <r>
      <t>JOELHO 90 GRAUS, PVC, SOLDÁVEL, DN 50MM</t>
    </r>
    <r>
      <rPr>
        <sz val="9"/>
        <color theme="1"/>
        <rFont val="Times New Roman"/>
        <family val="1"/>
      </rPr>
      <t>, INSTALADO EM RAMAL OU SUB-RAMAL DE ÁGUA - FORNECIMENTO E INSTALAÇÃO. AF_12/2014</t>
    </r>
  </si>
  <si>
    <r>
      <t xml:space="preserve">TE, PVC, SOLDÁVEL, DN 32 MM, INSTALADO EM RAMAL OU SUB-RAMAL DE ÁGUA </t>
    </r>
    <r>
      <rPr>
        <sz val="9"/>
        <color theme="1"/>
        <rFont val="Times New Roman"/>
        <family val="1"/>
      </rPr>
      <t xml:space="preserve"> - FORNECIMENTO E INSTALAÇÃO. AF_12/2014</t>
    </r>
  </si>
  <si>
    <r>
      <t xml:space="preserve">TE, PVC, SOLDÁVEL, DN 25MM, INSTALADO EM RAMAL OU SUB-RAMAL DE ÁGUA  </t>
    </r>
    <r>
      <rPr>
        <sz val="9"/>
        <color theme="1"/>
        <rFont val="Times New Roman"/>
        <family val="1"/>
      </rPr>
      <t>- FORNECIMENTO E INSTALAÇÃO. AF_12/2014</t>
    </r>
  </si>
  <si>
    <r>
      <t>TÊ DE REDUÇÃO, PVC, SOLDÁVEL, DN 50 x 32MM</t>
    </r>
    <r>
      <rPr>
        <sz val="9"/>
        <color theme="1"/>
        <rFont val="Times New Roman"/>
        <family val="1"/>
      </rPr>
      <t>, INSTALADO EM RAMAL OU SUB-RAMAL DE ÁGUA - FORNECIMENTO E INSTALAÇÃO. AF_12/2014</t>
    </r>
  </si>
  <si>
    <r>
      <t>BUCHA DE REDUCAO SOLDAVEL CURTA,COM DIAMETRO DE 32MM x 25MM</t>
    </r>
    <r>
      <rPr>
        <sz val="9"/>
        <color theme="1"/>
        <rFont val="Times New Roman"/>
        <family val="1"/>
      </rPr>
      <t>. FORNECIMENTO E INSTALAÇÃO</t>
    </r>
  </si>
  <si>
    <r>
      <t>LUVA COM BUCHA DE LATÃO, PVC, SOLDÁVEL, DN 25MM x 1/2"</t>
    </r>
    <r>
      <rPr>
        <sz val="9"/>
        <color theme="1"/>
        <rFont val="Times New Roman"/>
        <family val="1"/>
      </rPr>
      <t>, INSTALADO EM RAMAL OU SUB-RAMAL DE ÁGUA - FORNECIMENTO E INSTALAÇÃO. AF_12/2014</t>
    </r>
  </si>
  <si>
    <r>
      <t xml:space="preserve">BANCADA DE GRANITO CINZA CORUMBÁ, POLIDO, PARA PIA DE COZINHA, DE 1,90x0,60m=1,14m2, COM 3CM DE ESPESSURA,COM ABERTURA PARA 1 CUBA (EXCLUSIVE ESTA).        </t>
    </r>
    <r>
      <rPr>
        <strike/>
        <sz val="9"/>
        <color theme="1"/>
        <rFont val="Times New Roman"/>
        <family val="1"/>
      </rPr>
      <t xml:space="preserve"> </t>
    </r>
    <r>
      <rPr>
        <sz val="9"/>
        <rFont val="Times New Roman"/>
        <family val="1"/>
      </rPr>
      <t>- FORNECIMENTO E INSTALAÇÃO. AF_12/2013</t>
    </r>
  </si>
  <si>
    <r>
      <t>BANCADA CEGA DE GRANITO CINZA CORUMBÁ, POLIDO, PARA PIA DE COZINHA, DE 2,64x0,50m=1,32m2, COM 3CM DE ESPESSURA.</t>
    </r>
    <r>
      <rPr>
        <sz val="9"/>
        <rFont val="Times New Roman"/>
        <family val="1"/>
      </rPr>
      <t>- FORNECIMENTO E INSTALAÇÃO. AF_12/2013</t>
    </r>
  </si>
  <si>
    <t xml:space="preserve">TORNEIRA DE PAREDE, PARA BANCADA DE PIA DE COPA, CROMADA. H=157MM; C=296MM; L=50MM.   FORNECIMENTO E INSTALAÇÃO. AF_12/2013            </t>
  </si>
  <si>
    <t xml:space="preserve">TORNEIRA DE PAREDE, PARA BANCADA DE PIA DE COPA, CROMADA. H=157MM; C=296MM; L=50MM.   FORNECIMENTO E INSTALAÇÃO. AF_12/2013                                 </t>
  </si>
  <si>
    <t xml:space="preserve">LAVATORIO DE LOUCA BRANCA, TIPO MEDIO LUXO, COM LADRAO, COM MEDIDAS EM TORNO DE 47X35CM, INCLUSIVE ACESSORIOS DE FIXACAO. FERRAGENS EM METAL CROMADO: SIFAO 1680 DE 1"X1.1/4",  TORNEIRA DE MESA, PARA LAVATÓRIO, CROMADA. H=260MM; C=245MM; L=50MM      </t>
  </si>
  <si>
    <r>
      <t xml:space="preserve">BARRA DE APOIO RETRATIL (ARTICULADA) EM ACO INOXIDAVEL AISI 304, em  </t>
    </r>
    <r>
      <rPr>
        <b/>
        <sz val="14"/>
        <rFont val="Times New Roman"/>
        <family val="1"/>
      </rPr>
      <t>"U'</t>
    </r>
    <r>
      <rPr>
        <sz val="9"/>
        <rFont val="Times New Roman"/>
        <family val="1"/>
      </rPr>
      <t xml:space="preserve">  TUBO DE 1.1/4", INCLUSIVE FIXACAO COM PARAFUSOS INOXIDAVEIS E BUCHAS PLASTICAS, COM 25CM a 30CM</t>
    </r>
    <r>
      <rPr>
        <sz val="9"/>
        <rFont val="Times New Roman"/>
        <family val="1"/>
      </rPr>
      <t>, PARA PESSOAS COM NECESSIDADES ESPECIFICAS.FORNECIMENTO E COLOCACAO (OBS.:3%-DESGASTE DE FERRAMENTAS E EPI).</t>
    </r>
  </si>
  <si>
    <t xml:space="preserve">TORNEIRA DE MESA, PARA LAVATÓRIO, CROMADA. H=260MM; C=245MM; L=50MM.   FORNECIMENTO E INSTALAÇÃO. AF_12/2013                                 </t>
  </si>
  <si>
    <r>
      <t>VASO SANITARIO SIFONADO, PARA PCD,  SEM FURO FRONTAL, DE  LOUÇA BRANCA, COM ASSENTO, COM CAIXA ACOPLADA DE LOUÇA BRANCA. H=440mm; C=610mm; L=360mm.</t>
    </r>
    <r>
      <rPr>
        <strike/>
        <sz val="9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 xml:space="preserve"> FORNECIMENTO E INSTALAÇÃO. AF_10/2016</t>
    </r>
  </si>
  <si>
    <r>
      <t>FERRAGENS P/PORTA DE ALUMÍNIO</t>
    </r>
    <r>
      <rPr>
        <sz val="9"/>
        <color theme="1"/>
        <rFont val="Times New Roman"/>
        <family val="1"/>
      </rPr>
      <t xml:space="preserve">, DE 1 FOLHA DE ABRIR, </t>
    </r>
    <r>
      <rPr>
        <sz val="9"/>
        <color theme="1"/>
        <rFont val="Times New Roman"/>
        <family val="1"/>
      </rPr>
      <t xml:space="preserve">CONSTANDO DE </t>
    </r>
    <r>
      <rPr>
        <sz val="9"/>
        <color theme="1"/>
        <rFont val="Times New Roman"/>
        <family val="1"/>
      </rPr>
      <t xml:space="preserve"> : -FECHADURA DE CILINDRO,  DE LATAO CROMADO; -MACANETA TIPO ALAVANCA</t>
    </r>
    <r>
      <rPr>
        <sz val="9"/>
        <color theme="1"/>
        <rFont val="Times New Roman"/>
        <family val="1"/>
      </rPr>
      <t>, DE LATAO,  ACABAMENTO CROMADO; -ESPELHO DE LATAO FUNDIDO OU LAMINADO, FORMA RETANGULAR OU SEMI-ELIPTICA, ACABAMENTO CROMADO; -3 DOBRADICAS3"X3" DE ACO LAMINADO, COM PINO E BOLAS DE FERRO</t>
    </r>
  </si>
  <si>
    <t>FERRAGENS P/PORTA DE ALUMÍNIO, DE 2 FOLHAS DE ABRIR, CONSTANDO DE : -FECHADURA CILINDRO, DE LATAO, MONOBLOCO, ACABAMENTO CROMADO,; -ENTRADA CIRCULAR, LATAO, ACABAMENTO CROMADO; -ROSETA CIRCULAR, LATAO, ACAB.CROMADO; -MACA NETA TIPO ALAVANCA, LATAO, ACABAMENTO CROMADO; -6 DOBRADICAS 3"X3" LATAO CROMADO, C/PINOS,BOLAS E ANEIS DE LATAO E 2 FECHOS</t>
  </si>
  <si>
    <r>
      <t>JANELA (1,40x0,60m=0,84m2x2unid) DE ALUMÍNIO MAXIM-AR, 2 FOLHAS, FIXAÇÃO COM PARAFUSO SOBRE CONTRAMARCO</t>
    </r>
    <r>
      <rPr>
        <sz val="9"/>
        <rFont val="Times New Roman"/>
        <family val="1"/>
      </rPr>
      <t>, COM VIDROS FANTASIA DE 4MM, PADRONIZADA. AF_07/2016</t>
    </r>
  </si>
  <si>
    <r>
      <t>JANELA (1,60x0,60m=0,96m2x7unid) DE ALUMÍNIO MAXIM-AR, 2 FOLHAS, FIXAÇÃO COM PARAFUSO SOBRE CONTRAMARCO</t>
    </r>
    <r>
      <rPr>
        <sz val="9"/>
        <rFont val="Times New Roman"/>
        <family val="1"/>
      </rPr>
      <t>, COM VIDROS FANTASIA DE 4MM, PADRONIZADA. AF_07/2016</t>
    </r>
  </si>
  <si>
    <t>JANELA BASCULANTE (0,80x0,60m=0,48m2x2 unid) DE ALUMINIO ANODIZADO AO NATURAL, EM PERFIS SERIE 28.FORNECIMENTO E COLOCACAO (OBS.:3%-DESGASTE DE FERRAMENTAS E EPI 23%-ANODIZACAO E ACESSORIOS).</t>
  </si>
  <si>
    <r>
      <t>JANELA BASCULANTE (1,20x0,60m=0,72m2x5 unid) DE ALUMINIO ANODIZADO AO NATURAL,</t>
    </r>
    <r>
      <rPr>
        <sz val="9"/>
        <rFont val="Times New Roman"/>
        <family val="1"/>
      </rPr>
      <t>EM PERFIS SERIE 28.FORNECIMENTO E COLOCACAO (OBS.:3%-DESGASTE DE FERRAMENTAS E EPI 23%-ANODIZACAO E ACESSORIOS).</t>
    </r>
  </si>
  <si>
    <t>JANELA BASCULANTE (1,60x0,50m=0,80m2x2 unid) DE ALUMINIO ANODIZADO AO NATURAL, EM PERFIS SERIE 28.FORNECIMENTO E COLOCACAO (OBS.:3%-DESGASTE DE FERRAMENTAS E EPI 23%-ANODIZACAO E ACESSORIOS).</t>
  </si>
  <si>
    <r>
      <t>REVESTIMENTO CERÂMICO PARA PAREDES INTERNAS COM PLACAS TIPO ESMALTADA EXTRA DE DIMENSÕES 45x45CM</t>
    </r>
    <r>
      <rPr>
        <strike/>
        <sz val="9"/>
        <rFont val="Times New Roman"/>
        <family val="1"/>
      </rPr>
      <t xml:space="preserve"> </t>
    </r>
    <r>
      <rPr>
        <sz val="9"/>
        <rFont val="Times New Roman"/>
        <family val="1"/>
      </rPr>
      <t>APLICADAS EM AMBIENTES DE ÁREA MAIOR QUE 5 M² NA ALTURA INTEIRA DAS PAREDES. AF_06/2014</t>
    </r>
  </si>
  <si>
    <r>
      <t>PISO DE MARMORITE, COMPREENDENDO: A) LASTRO DE REGULARIZAÇÃO  COM  2CM</t>
    </r>
    <r>
      <rPr>
        <sz val="9"/>
        <rFont val="Times New Roman"/>
        <family val="1"/>
      </rPr>
      <t xml:space="preserve"> DE ESPESSURA MEDIA, DE ARGAMASSA DE CIMENTO E AREIA GROSSA, NO TRACO 1:4; B) CAMADA DE MARMORITE, COM 1CM DE ESPESSURA, FEITA COM GRANA Nº1 DE MARMORE BRANCO NACIONAL E CIMENTO, SUPERFICIE ESTUCADA APOS A FUNDICAO, COM 3 POLIMENTOS MECANICOS, INCLUSIVE </t>
    </r>
    <r>
      <rPr>
        <sz val="9"/>
        <rFont val="Times New Roman"/>
        <family val="1"/>
      </rPr>
      <t xml:space="preserve"> JUNTA (OBS.:3%-DESGASTE DE FERRAMENTAS E EPI).</t>
    </r>
  </si>
  <si>
    <r>
      <t xml:space="preserve">PLACA DE IDENTIFICACAO DE OBRA PUBLICA, INCLUSIVE </t>
    </r>
    <r>
      <rPr>
        <sz val="9"/>
        <color theme="1"/>
        <rFont val="Times New Roman"/>
        <family val="1"/>
      </rPr>
      <t xml:space="preserve"> SUPORTES DE MADEIRA.FORNECIMENTO E COLOCACAO (OBS.:3% - DESGASTE DE FERRAMENTAS E EPI).</t>
    </r>
  </si>
  <si>
    <t xml:space="preserve">Especif. /  Quant. : </t>
  </si>
  <si>
    <t>Sim</t>
  </si>
  <si>
    <t>VER LM</t>
  </si>
  <si>
    <t xml:space="preserve">VER LM </t>
  </si>
  <si>
    <t>Ver LM Caçculada</t>
  </si>
  <si>
    <t>SERVIÇOS DIVERSOS PARA INSTALAÇÕES EM PISO   (ELÉTR, SANITÁRIA e ÁGUA)</t>
  </si>
  <si>
    <t>&gt;&gt;&gt;  SERVIÇOS DIVERSOS PARA INSTALAÇÕES EM PISO   (ELÉTR, SANITÁRIA e ÁGUA)</t>
  </si>
  <si>
    <t>So000097629</t>
  </si>
  <si>
    <t>DEMOLIÇÃO DE LAJES, DE FORMA MECANIZADA COM MARTELETE, SEM REAPROVEITAMENTO. AF_12/2017</t>
  </si>
  <si>
    <t>03.001.0001-1</t>
  </si>
  <si>
    <t>Constr. Concreto 25Mpa</t>
  </si>
  <si>
    <t>11.003.0005-1</t>
  </si>
  <si>
    <t>CONCRETO DOSADO RACIONALMENTE PARA UMA RESISTENCIA CARACTERISTICA A COMPRESSAO DE 25MPA,INCLUSIVE MATERIAIS,TRANSPORTE,P REPARO COM BETONEIRA,LANCAMENTO E ADENSAMENTO (OBS.:5%-PERDAS).</t>
  </si>
  <si>
    <t>14543</t>
  </si>
  <si>
    <t>PEDRA BRITADA 1 E 2 (MEDIA), PARA REGIAOMETROPOLITANA DO RIO DE JANEIRO</t>
  </si>
  <si>
    <t>T</t>
  </si>
  <si>
    <t>01752</t>
  </si>
  <si>
    <t>11.002.0023-1 LANCAMENTO CONC.C/ARM.2,0M3/H,HORIZ/VERT</t>
  </si>
  <si>
    <t>01745</t>
  </si>
  <si>
    <t>11.002.0013-1 PREPARO CONCR. BETON. 320L; 2,0M3/H</t>
  </si>
  <si>
    <t>03.013.0001-1</t>
  </si>
  <si>
    <t>REATERRO DE VALA/CAVA COMPACTADA A MACO,EM CAMADAS DE 30CM DE ESPESSURA MAXIMA,COM MATERIAL DE BOA QUALIDADE,EXCLUSIVE ESTE (OBS.:3%- DESGASTE DE FERRAMENTAS E EPI).</t>
  </si>
  <si>
    <t>DEMOLIÇÃO DE CONCRETO . AF_12/2017</t>
  </si>
  <si>
    <t xml:space="preserve">ESCAVACAO MANUAL </t>
  </si>
  <si>
    <t>CONCRETO 25MPA, INCLUSIVE MATERIAIS, TRANSPORTE, PREPARO COM BETONEIRA, LANCAMENTO E ADENSAMENTO (OBS.:5%-PERDAS).</t>
  </si>
  <si>
    <t>REATERRO (OBS.:3%- DESGASTE DE FERRAMENTAS E EPI).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</si>
  <si>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</si>
  <si>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</si>
  <si>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</si>
  <si>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</si>
  <si>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</si>
  <si>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</si>
  <si>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</si>
  <si>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</si>
  <si>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</si>
  <si>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</si>
  <si>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</si>
  <si>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</si>
  <si>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</si>
  <si>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</si>
  <si>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</si>
  <si>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</si>
  <si>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</si>
  <si>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</si>
  <si>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</si>
  <si>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</si>
  <si>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</si>
  <si>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</si>
  <si>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</si>
  <si>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</si>
  <si>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</si>
  <si>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</si>
  <si>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</si>
  <si>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</si>
  <si>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</si>
  <si>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</si>
  <si>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</si>
  <si>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</si>
  <si>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</si>
  <si>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</si>
  <si>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</si>
  <si>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</si>
  <si>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</si>
  <si>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</si>
  <si>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</si>
  <si>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</si>
  <si>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</si>
  <si>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</si>
  <si>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</si>
  <si>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</si>
  <si>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</si>
  <si>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</si>
  <si>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</si>
  <si>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</si>
  <si>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</si>
  <si>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</si>
  <si>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</si>
  <si>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</si>
  <si>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</si>
  <si>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</si>
  <si>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</si>
  <si>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</si>
  <si>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</si>
  <si>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</si>
  <si>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</si>
  <si>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</si>
  <si>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</si>
  <si>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</si>
  <si>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</si>
  <si>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</si>
  <si>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</si>
  <si>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</si>
  <si>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</si>
  <si>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</si>
  <si>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</si>
  <si>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</si>
  <si>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</si>
  <si>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</si>
  <si>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</si>
  <si>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</si>
  <si>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</si>
  <si>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</si>
  <si>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</si>
  <si>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</si>
  <si>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</si>
  <si>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</si>
  <si>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</si>
  <si>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</si>
  <si>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</si>
  <si>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</si>
  <si>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</si>
  <si>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</si>
  <si>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</si>
  <si>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</si>
  <si>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</si>
  <si>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</si>
  <si>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</si>
  <si>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</si>
  <si>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</si>
  <si>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</si>
  <si>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</si>
  <si>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</si>
  <si>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</si>
  <si>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</si>
  <si>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</si>
  <si>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</si>
  <si>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</si>
  <si>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</si>
  <si>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</si>
  <si>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</si>
  <si>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</si>
  <si>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</si>
  <si>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</si>
  <si>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</si>
  <si>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</si>
  <si>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</si>
  <si>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</si>
  <si>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</si>
  <si>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</si>
  <si>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</si>
  <si>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</si>
  <si>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</si>
  <si>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</si>
  <si>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</si>
  <si>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</si>
  <si>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</si>
  <si>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</si>
  <si>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</si>
  <si>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</si>
  <si>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</si>
  <si>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</si>
  <si>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</si>
  <si>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</si>
  <si>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</si>
  <si>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</si>
  <si>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</si>
  <si>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</si>
  <si>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</si>
  <si>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</si>
  <si>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</si>
  <si>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12.1</t>
  </si>
  <si>
    <t>12.2</t>
  </si>
  <si>
    <t>12.3</t>
  </si>
  <si>
    <t>13.1</t>
  </si>
  <si>
    <t>14.1</t>
  </si>
  <si>
    <t>14.2</t>
  </si>
  <si>
    <t>14.3</t>
  </si>
  <si>
    <t>14.4</t>
  </si>
  <si>
    <t>15.1</t>
  </si>
  <si>
    <t>15.2</t>
  </si>
  <si>
    <t>15.3</t>
  </si>
  <si>
    <t>16.1</t>
  </si>
  <si>
    <t>16.2</t>
  </si>
  <si>
    <t>16.3</t>
  </si>
  <si>
    <t>16.4</t>
  </si>
  <si>
    <t>16.5</t>
  </si>
  <si>
    <t>17.1</t>
  </si>
  <si>
    <t>17.2</t>
  </si>
  <si>
    <t>17.3</t>
  </si>
  <si>
    <t>17.4</t>
  </si>
  <si>
    <t>17.5</t>
  </si>
  <si>
    <t>17.6</t>
  </si>
  <si>
    <t>18.1</t>
  </si>
  <si>
    <t>18.2</t>
  </si>
  <si>
    <t>18.3</t>
  </si>
  <si>
    <t>18.4</t>
  </si>
  <si>
    <t>18.5</t>
  </si>
  <si>
    <t>10.4  e  10.9</t>
  </si>
  <si>
    <t>11.1, 11.2, 11.5 e 11.6</t>
  </si>
  <si>
    <t>17.1 e 17.5</t>
  </si>
  <si>
    <t>2.6 e 18.5</t>
  </si>
  <si>
    <t>MOLA HIDRAULICA DE PISO PARA PORTAS DE VIDRO TEMPERADO DE 10MM. FORNECIMENTO E INSTALAçÂO</t>
  </si>
  <si>
    <t>01957</t>
  </si>
  <si>
    <t>MAO-DE-OBRA DE VIDRACEIRO, INCLUSIVE ENCARGOS SOCIAIS</t>
  </si>
  <si>
    <t>22/Jul/2019</t>
  </si>
  <si>
    <t>011/2019</t>
  </si>
  <si>
    <t>So00000088316</t>
  </si>
  <si>
    <t>So00000088256</t>
  </si>
  <si>
    <t>So00000005952</t>
  </si>
  <si>
    <t>So00000005952 MARTELETE OU ROMPEDOR PNEUMÁTICO MANUAL, 28 KG, COM SILENCIADOR - CHI DIURNO. AF_07/2016</t>
  </si>
  <si>
    <t>So00000005795</t>
  </si>
  <si>
    <t>So00000005795 MARTELETE OU ROMPEDOR PNEUMÁTICO MANUAL, 28 KG, COM SILENCIADOR - CHP DIURNO. AF_07/2016</t>
  </si>
  <si>
    <t>So00000097622</t>
  </si>
  <si>
    <t>So00000088309</t>
  </si>
  <si>
    <t>So00000097631</t>
  </si>
  <si>
    <t>DEMOLIÇÃO DE ARGAMASSAS, DE FORMA MANUAL, SEM REAPROVEITAMENTO. AF_12/2017</t>
  </si>
  <si>
    <t>So00000088261</t>
  </si>
  <si>
    <t>So00000097644</t>
  </si>
  <si>
    <t>So00000097645</t>
  </si>
  <si>
    <t>So0042655</t>
  </si>
  <si>
    <t>So00000097666</t>
  </si>
  <si>
    <t>So00000088267</t>
  </si>
  <si>
    <t>So00000097663</t>
  </si>
  <si>
    <t>So00000097660</t>
  </si>
  <si>
    <t>So00000088264</t>
  </si>
  <si>
    <t>So00000097665</t>
  </si>
  <si>
    <t>So00000072897</t>
  </si>
  <si>
    <t>So00000005961</t>
  </si>
  <si>
    <t>So00000005961 CAMINHÃO BASCULANTE 6 M3, PESO BRUTO TOTAL 16.000 KG, CARGA ÚTIL MÁXIMA 13.071 KG, DISTÂNCIA ENTRE EIXOS 4,80 M, POTÊNCIA 230 CV INCLUSIVE CAÇAMBA METÁLICA - CHI DIURNO. AF_06/2014</t>
  </si>
  <si>
    <t>So00000097914</t>
  </si>
  <si>
    <t>So00000067827</t>
  </si>
  <si>
    <t>So00000067827 CAMINHÃO BASCULANTE 6 M3 TOCO, PESO BRUTO TOTAL 16.000 KG, CARGA ÚTIL MÁXIMA 11.130 KG, DISTÂNCIA ENTRE EIXOS 5,36 M, POTÊNCIA 185 CV, INCLUSIVE CAÇAMBA METÁLICA - CHI DIURNO. AF_06/2014</t>
  </si>
  <si>
    <t>So00000067826</t>
  </si>
  <si>
    <t>So00000067826 CAMINHÃO BASCULANTE 6 M3 TOCO, PESO BRUTO TOTAL 16.000 KG, CARGA ÚTIL MÁXIMA 11.130 KG, DISTÂNCIA ENTRE EIXOS 5,36 M, POTÊNCIA 185 CV, INCLUSIVE CAÇAMBA METÁLICA - CHP DIURNO. AF_06/2014</t>
  </si>
  <si>
    <t>So0039017</t>
  </si>
  <si>
    <t>So0004491</t>
  </si>
  <si>
    <t>So0002692</t>
  </si>
  <si>
    <t>So00000094970</t>
  </si>
  <si>
    <t>So00000094970 CONCRETO FCK = 20MPA, TRAÇO 1:2,7:3 (CIMENTO/ AREIA MÉDIA/ BRITA 1)  - PREPARO MECÂNICO COM BETONEIRA 600 L. AF_07/2016</t>
  </si>
  <si>
    <t>So00000092793</t>
  </si>
  <si>
    <t>So00000092793 CORTE E DOBRA DE AÇO CA-50, DIÂMETRO DE 8,0 MM, UTILIZADO EM ESTRUTURAS DIVERSAS, EXCETO LAJES. AF_12/2015</t>
  </si>
  <si>
    <t>So00000092270</t>
  </si>
  <si>
    <t>So00000092270 FABRICAÇÃO DE FÔRMA PARA VIGAS, COM MADEIRA SERRADA, E = 25 MM. AF_12/2015</t>
  </si>
  <si>
    <t>So00000093197</t>
  </si>
  <si>
    <t>So00000092792</t>
  </si>
  <si>
    <t>So00000092792 CORTE E DOBRA DE AÇO CA-50, DIÂMETRO DE 6,3 MM, UTILIZADO EM ESTRUTURAS DIVERSAS, EXCETO LAJES. AF_12/2015</t>
  </si>
  <si>
    <t>So00000091953</t>
  </si>
  <si>
    <t>So00000091953 INTERRUPTOR SIMPLES (1 MÓDULO), 10A/250V, INCLUINDO SUPORTE E PLACA - FORNECIMENTO E INSTALAÇÃO. AF_12/2015</t>
  </si>
  <si>
    <t>So00000091940</t>
  </si>
  <si>
    <t>So00000091940 CAIXA RETANGULAR 4" X 2" MÉDIA (1,30 M DO PISO), PVC, INSTALADA EM PAREDE - FORNECIMENTO E INSTALAÇÃO. AF_12/2015</t>
  </si>
  <si>
    <t>So00000091937</t>
  </si>
  <si>
    <t>So00000091937 CAIXA OCTOGONAL 3" X 3", PVC, INSTALADA EM LAJE - FORNECIMENTO E INSTALAÇÃO. AF_12/2015</t>
  </si>
  <si>
    <t>So00000091924</t>
  </si>
  <si>
    <t>So00000091924 CABO DE COBRE FLEXÍVEL ISOLADO, 1,5 MM², ANTI-CHAMA 450/750 V, PARA CIRCUITOS TERMINAIS - FORNECIMENTO E INSTALAÇÃO. AF_12/2015</t>
  </si>
  <si>
    <t>So00000091852</t>
  </si>
  <si>
    <t>So00000091852 ELETRODUTO FLEXÍVEL CORRUGADO, PVC, DN 20 MM (1/2"), PARA CIRCUITOS TERMINAIS, INSTALADO EM PAREDE - FORNECIMENTO E INSTALAÇÃO. AF_12/2015</t>
  </si>
  <si>
    <t>So00000091842</t>
  </si>
  <si>
    <t>So00000091842 ELETRODUTO FLEXÍVEL CORRUGADO, PVC, DN 20 MM (1/2"), PARA CIRCUITOS TERMINAIS, INSTALADO EM LAJE - FORNECIMENTO E INSTALAÇÃO. AF_12/2015</t>
  </si>
  <si>
    <t>So00000090466</t>
  </si>
  <si>
    <t>So00000090466 CHUMBAMENTO LINEAR EM ALVENARIA PARA RAMAIS/DISTRIBUIÇÃO COM DIÂMETROS MENORES OU IGUAIS A 40 MM. AF_05/2015</t>
  </si>
  <si>
    <t>So00000090456</t>
  </si>
  <si>
    <t>So00000090456 QUEBRA EM ALVENARIA PARA INSTALAÇÃO DE CAIXA DE TOMADA (4X4 OU 4X2). AF_05/2015</t>
  </si>
  <si>
    <t>So00000090447</t>
  </si>
  <si>
    <t>So00000090447 RASGO EM ALVENARIA PARA ELETRODUTOS COM DIAMETROS MENORES OU IGUAIS A 40 MM. AF_05/2015</t>
  </si>
  <si>
    <t>So00000091996</t>
  </si>
  <si>
    <t>So00000091926</t>
  </si>
  <si>
    <t>So00000091945</t>
  </si>
  <si>
    <t>So00000091928</t>
  </si>
  <si>
    <t>So0038769</t>
  </si>
  <si>
    <t>So0038193</t>
  </si>
  <si>
    <t>So00000088247</t>
  </si>
  <si>
    <t>So00000093657</t>
  </si>
  <si>
    <t>So0034653</t>
  </si>
  <si>
    <t>So0001571</t>
  </si>
  <si>
    <t>So0001573</t>
  </si>
  <si>
    <t>So0034616</t>
  </si>
  <si>
    <t>So00000093662</t>
  </si>
  <si>
    <t>So00000093664</t>
  </si>
  <si>
    <t>So00000093672</t>
  </si>
  <si>
    <t>So0034709</t>
  </si>
  <si>
    <t>So0001574</t>
  </si>
  <si>
    <t>So00000093673</t>
  </si>
  <si>
    <t>DISJUNTOR TRIPOLAR TIPO DIN, CORRENTE NOMINAL DE 50A - FORNECIMENTO E INSTALAÇÃO. AF_04/2016</t>
  </si>
  <si>
    <t>So0001575</t>
  </si>
  <si>
    <t>So0074131/005</t>
  </si>
  <si>
    <t>So0012039</t>
  </si>
  <si>
    <t>So0074131/006</t>
  </si>
  <si>
    <t>So0012041</t>
  </si>
  <si>
    <t>So0003379</t>
  </si>
  <si>
    <t>So00000072263</t>
  </si>
  <si>
    <t>So0001588</t>
  </si>
  <si>
    <t>ELETRODUTO DE PVC RIGIDO ROSQUEAVEL DE 2",INCLUSIVE CONEXOES E EMENDAS,EXCLUSIVE ABERTURA E FECHAMENTO DE RASGO.FORNECIM ENTO E ASSENTAMENTO (OBS.:3%-DESGASTE DE FERRAMENTAS E EPI 10%-CONEXOES E EMENDAS).</t>
  </si>
  <si>
    <t>TUBO DE PVC RIGIDO DE 100MM,SOLDAVEL,EXCLUSIVE EMENDAS,CONEXOES,ABERTURA E FECHAMENTO DE RASGO.FORNECIMENTO E ASSENTAMEN TO (OBS.:3%-DESGASTE DE FERRAMENTAS E EPI).</t>
  </si>
  <si>
    <t>TUBO DE PVC RIGIDO DE 75MM,SOLDAVEL,EXCLUSIVE EMENDAS,CONEXOES,ABERTURA E FECHAMENTO DE RASGO.FORNECIMENTO E ASSENTAMENT O (OBS.:3%-DESGASTE DE FERRAMENTAS E EPI).</t>
  </si>
  <si>
    <t>TUBO DE PVC RIGIDO DE 50MM,SOLDAVEL,EXCLUSIVE EMENDAS,CONEXOES,ABERTURA E FECHAMENTO DE RASGO.FORNECIMENTO E ASSENTAMENT O (OBS.:3%-DESGASTE DE FERRAMENTAS E EPI).</t>
  </si>
  <si>
    <t>TUBO DE PVC RIGIDO DE 40MM,SOLDAVEL,EXCLUSIVE EMENDAS,CONEXOES,ABERTURA E FECHAMENTO DE RASGO.FORNECIMENTO E ASSENTAMENT O (OBS.:3%-DESGASTE DE FERRAMENTAS E EPI).</t>
  </si>
  <si>
    <t>So0038383</t>
  </si>
  <si>
    <t>So0020083</t>
  </si>
  <si>
    <t>So0020078</t>
  </si>
  <si>
    <t>So0000122</t>
  </si>
  <si>
    <t>So00000088248</t>
  </si>
  <si>
    <t>So0011714</t>
  </si>
  <si>
    <t>So0000297</t>
  </si>
  <si>
    <t>So0020084</t>
  </si>
  <si>
    <t>aprox. So0005103</t>
  </si>
  <si>
    <t>So00000098102</t>
  </si>
  <si>
    <t>So0011881</t>
  </si>
  <si>
    <t>So00000094111</t>
  </si>
  <si>
    <t>So00000094111 LASTRO DE VALA COM PREPARO DE FUNDO, LARGURA MENOR QUE 1,5 M, COM CAMADA DE AREIA, LANÇAMENTO MECANIZADO, EM LOCAL COM NÍVEL BAIXO DE INTERFERÊNCIA. AF_06/2016</t>
  </si>
  <si>
    <t>So00000005679</t>
  </si>
  <si>
    <t>So00000005679 RETROESCAVADEIRA SOBRE RODAS COM CARREGADEIRA, TRAÇÃO 4X4, POTÊNCIA LÍQ. 88 HP, CAÇAMBA CARREG. CAP. MÍN. 1 M3, CAÇAMBA RETRO CAP. 0,26 M3, PESO OPERACIONAL MÍN. 6.674 KG, PROFUNDIDADE ESCAVAÇÃO MÁX. 4,37 M - CHI DIURNO. AF_06/2014</t>
  </si>
  <si>
    <t>So00000005678</t>
  </si>
  <si>
    <t>So00000005678 RETROESCAVADEIRA SOBRE RODAS COM CARREGADEIRA, TRAÇÃO 4X4, POTÊNCIA LÍQ. 88 HP, CAÇAMBA CARREG. CAP. MÍN. 1 M3, CAÇAMBA RETRO CAP. 0,26 M3, PESO OPERACIONAL MÍN. 6.674 KG, PROFUNDIDADE ESCAVAÇÃO MÁX. 4,37 M - CHP DIURNO. AF_06/2014</t>
  </si>
  <si>
    <t>So0007258</t>
  </si>
  <si>
    <t>So00000100475</t>
  </si>
  <si>
    <t>So00000100475 ARGAMASSA TRAÇO 1:3 (EM VOLUME DE CIMENTO E AREIA MÉDIA ÚMIDA) COM ADIÇÃO DE IMPERMEABILIZANTE, PREPARO MECÂNICO COM BETONEIRA 400 L. AF_08/2019</t>
  </si>
  <si>
    <t>So00000097735</t>
  </si>
  <si>
    <t>So00000097735 PEÇA RETANGULAR PRÉ-MOLDADA, VOLUME DE CONCRETO DE 30 A 100 LITROS, TAXA DE AÇO APROXIMADA DE 30KG/M³. AF_01/2018</t>
  </si>
  <si>
    <t>So00000094097</t>
  </si>
  <si>
    <t>So00000094097 PREPARO DE FUNDO DE VALA COM LARGURA MENOR QUE 1,5 M, EM LOCAL COM NÍVEL BAIXO DE INTERFERÊNCIA. AF_06/2016</t>
  </si>
  <si>
    <t>So00000087316</t>
  </si>
  <si>
    <t>So00000087316 ARGAMASSA TRAÇO 1:4 (EM VOLUME DE CIMENTO E AREIA GROSSA ÚMIDA) PARA CHAPISCO CONVENCIONAL, PREPARO MECÂNICO COM BETONEIRA 400 L. AF_08/2019</t>
  </si>
  <si>
    <t>So00000098114</t>
  </si>
  <si>
    <t>So0011301</t>
  </si>
  <si>
    <t>So00000089367</t>
  </si>
  <si>
    <t>So0003536</t>
  </si>
  <si>
    <t>So0003540</t>
  </si>
  <si>
    <t>So00000089362</t>
  </si>
  <si>
    <t>So0003529</t>
  </si>
  <si>
    <t>So00000089358</t>
  </si>
  <si>
    <t>So0003542</t>
  </si>
  <si>
    <t>So00000090373</t>
  </si>
  <si>
    <t>So0020147</t>
  </si>
  <si>
    <t>So0007139</t>
  </si>
  <si>
    <t>So00000089400</t>
  </si>
  <si>
    <t>So0007136</t>
  </si>
  <si>
    <t>So0007104</t>
  </si>
  <si>
    <t>So0003855</t>
  </si>
  <si>
    <t>So00000089381</t>
  </si>
  <si>
    <t>So0003870</t>
  </si>
  <si>
    <t>So00000094711</t>
  </si>
  <si>
    <t>So0020080</t>
  </si>
  <si>
    <t>So0000066</t>
  </si>
  <si>
    <t>So00000094662</t>
  </si>
  <si>
    <t>So0000112</t>
  </si>
  <si>
    <t>So00000089383</t>
  </si>
  <si>
    <t>So0000065</t>
  </si>
  <si>
    <t>So00000094497</t>
  </si>
  <si>
    <t>So0006010</t>
  </si>
  <si>
    <t>So0003148</t>
  </si>
  <si>
    <t>So00000089987</t>
  </si>
  <si>
    <t>So0006005</t>
  </si>
  <si>
    <t>So00000089985</t>
  </si>
  <si>
    <t>So0006024</t>
  </si>
  <si>
    <t>So00000097629</t>
  </si>
  <si>
    <t>ESCAVACAO MANUAL DE VALA/CAVA EM MATERIAL DE 1¦ CATEGORIA (A(AREIA,ARGILA OU PICARRA),ATE 1,50M DE PROFUNDIDADE,EXCLUSIV E ESCORAMENTO E ESGOTAMENTO (OBS.:3% - DESGASTE DE FERRAMENTAS E EPI).</t>
  </si>
  <si>
    <t>So0037591</t>
  </si>
  <si>
    <t>So0037329</t>
  </si>
  <si>
    <t>So0011795</t>
  </si>
  <si>
    <t>So0007568</t>
  </si>
  <si>
    <t>So0004823</t>
  </si>
  <si>
    <t>So00000088274</t>
  </si>
  <si>
    <t>13349</t>
  </si>
  <si>
    <t>13348</t>
  </si>
  <si>
    <t>So00000086900</t>
  </si>
  <si>
    <t>So00000086900 CUBA DE EMBUTIR DE AÇO INOXIDÁVEL MÉDIA - FORNECIMENTO E INSTALAÇÃO. AF_12/2013</t>
  </si>
  <si>
    <t>So00000086881</t>
  </si>
  <si>
    <t>So00000086881 SIFÃO DO TIPO GARRAFA EM METAL CROMADO 1 X 1.1/2" - FORNECIMENTO E INSTALAÇÃO. AF_12/2013</t>
  </si>
  <si>
    <t>So00000086878</t>
  </si>
  <si>
    <t>So00000086878 VÁLVULA EM METAL CROMADO TIPO AMERICANA 3.1/2" X 1.1/2" PARA PIA - FORNECIMENTO E INSTALAÇÃO. AF_12/2013</t>
  </si>
  <si>
    <t>So0013416</t>
  </si>
  <si>
    <t>So0003146</t>
  </si>
  <si>
    <t>So00000086932</t>
  </si>
  <si>
    <t>So00000086888</t>
  </si>
  <si>
    <t>So00000086888 VASO SANITÁRIO SIFONADO COM CAIXA ACOPLADA LOUÇA BRANCA - FORNECIMENTO E INSTALAÇÃO. AF_12/2013</t>
  </si>
  <si>
    <t>So00000086887</t>
  </si>
  <si>
    <t>So00000086887 ENGATE FLEXÍVEL EM INOX, 1/2 X 40CM - FORNECIMENTO E INSTALAÇÃO. AF_12/2013</t>
  </si>
  <si>
    <t>So0036520</t>
  </si>
  <si>
    <t>So0006138</t>
  </si>
  <si>
    <t>So0004384</t>
  </si>
  <si>
    <t>So00000009535</t>
  </si>
  <si>
    <t>So0001368</t>
  </si>
  <si>
    <t>So00000095544</t>
  </si>
  <si>
    <t>So0011703</t>
  </si>
  <si>
    <t>So00000095541</t>
  </si>
  <si>
    <t>So00000095541 FIXAÇÃO UTILIZANDO PARAFUSO E BUCHA DE NYLON, SOMENTE MÃO DE OBRA. AF_10/2016</t>
  </si>
  <si>
    <t>So00000095543</t>
  </si>
  <si>
    <t>So0021102</t>
  </si>
  <si>
    <t>So00000095547</t>
  </si>
  <si>
    <t>So0011758</t>
  </si>
  <si>
    <t>So0074125/002</t>
  </si>
  <si>
    <t>So0011186</t>
  </si>
  <si>
    <t>So0007334</t>
  </si>
  <si>
    <t>So0001360</t>
  </si>
  <si>
    <t>So0000587</t>
  </si>
  <si>
    <t>So00000088325</t>
  </si>
  <si>
    <t>So00000088239</t>
  </si>
  <si>
    <t>So00000091341</t>
  </si>
  <si>
    <t>So0039025</t>
  </si>
  <si>
    <t>So0036888</t>
  </si>
  <si>
    <t>So0000142</t>
  </si>
  <si>
    <t>FECHADURA DE EMBUTIR EM LATAO CROM., P/PORTA EXT.,MACANETA TIPO BOLA EM ZAMAK, DIST. 55MM E PROFUND. 80MM</t>
  </si>
  <si>
    <t>So00000094569</t>
  </si>
  <si>
    <t>JANELA DE ALUMÍNIO MAXIM-AR, FIXAÇÃO COM PARAFUSO SOBRE CONTRAMARCO (EXCLUSIVE CONTRAMARCO), COM VIDROS, PADRONIZADA. AF_07/2016</t>
  </si>
  <si>
    <t>So0039961</t>
  </si>
  <si>
    <t>So0004377</t>
  </si>
  <si>
    <t>So0000601</t>
  </si>
  <si>
    <t>VIDRO TEMPERADO INCOLOR,10MM DE ESPESSURA,PARA PORTAS OU PAINEIS FIXOS,EXCLUSIVE FERRAGENS.FORNECIMENTO E COLOCACAO</t>
  </si>
  <si>
    <t>MOLA HIDRAULICA DE PISO PARA PORTAS DE VIDRO TEMPERADO DE 10MM.FORNECIMENTO</t>
  </si>
  <si>
    <t>So00000072118</t>
  </si>
  <si>
    <t>So0010505</t>
  </si>
  <si>
    <t>So0010498</t>
  </si>
  <si>
    <t>So00000087879</t>
  </si>
  <si>
    <t>So00000087313</t>
  </si>
  <si>
    <t>So00000087313 ARGAMASSA TRAÇO 1:3 (EM VOLUME DE CIMENTO E AREIA GROSSA ÚMIDA) PARA CHAPISCO CONVENCIONAL, PREPARO MECÂNICO COM BETONEIRA 400 L. AF_08/2019</t>
  </si>
  <si>
    <t>EMBOCO INTERNO COM ARGAMASSA DE CIMENTO,CAL HIDRATADA ADITIVADA E AREIA,NO TRACO 1:1:8,COM ESPESSURA DE 1,5CM,EXCLUSIVE CHAPISCO (OBS.:3%-DESGASTE DE FERRAMENTAS E EPI).</t>
  </si>
  <si>
    <t>So0034357</t>
  </si>
  <si>
    <t>So0001381</t>
  </si>
  <si>
    <t>So0000536</t>
  </si>
  <si>
    <t>So0021108</t>
  </si>
  <si>
    <t>PISO DE MARMORITE,COMPREENDENDO:A)LASTRO,COM 4CM DE ESPESSURA MEDIA,DE ARGAMASSA DE CIMENTO E AREIA GROSSA,NO TRACO 1:4; B)CAMADA DE MARMORITE,COM 1CM DE ESPESSURA,FEITA COM GRANA N§1 DE MARMORE BRANCO NACIONAL E CIMENTO,SUPERFICIE ESTUCADA APOS A FUNDICAO,COM 3 POLIMENTOS MECANICOS,EXCLUSIVE JUNTA (OBS.:3%-DESGASTE DE FERRAMENTAS E EPI).</t>
  </si>
  <si>
    <t>CONTRAPISO,BASE OU CAMADA REGULARIZADORA,EXECUTADA COM ARGAMASSA DE CIMENTO E AREIA,NO TRACO 1:4,NA ESPESSURA DE 4CM (OBS.:3%-DESGASTE DE FERRAMENTAS E EPI).</t>
  </si>
  <si>
    <t>13.301.0125-1</t>
  </si>
  <si>
    <t>CONTRAPISO,BASE OU CAMADA REGULARIZADORA,EXECUTADA COM ARGAMASSA DE CIMENTO E AREIA,NO TRACO 1:4,NA ESPESSURA DE 3CM (OBS.:3%-DESGASTE DE FERRAMENTAS E EPI).</t>
  </si>
  <si>
    <t>13.381.0050-0</t>
  </si>
  <si>
    <t>So00000087260</t>
  </si>
  <si>
    <t>So0037595</t>
  </si>
  <si>
    <t>CONTRAPISO,BASE OU CAMADA REGULARIZADORA EXECUTADA COM ARGAMASSA DE CIMENTO A AREIA,NO TRACO 1:4,NA ESPESSURA DE 1,5CM (OBS.:3%-DESGASTE DE FERRAMENTAS E EPI).</t>
  </si>
  <si>
    <t>So00000098689</t>
  </si>
  <si>
    <t>So0020232</t>
  </si>
  <si>
    <t>PEITORIL EM GRANITO CINZA ANDORINHA,ESPESSURA DE 2CM,LARGURA 15 A 18CM,ASSENTADO COM NATA DE CIMENTO SOBRE ARGAMASSA DE CIMENTO,SAIBRO E AREIA,NO TRACO 1:3:3 E REJUNTAMENTO COM CIMENTO BRANCO (OBS.:3%-DESGASTE DE FERRAMENTAS E EPI).</t>
  </si>
  <si>
    <t>So00000088482</t>
  </si>
  <si>
    <t>So0006090</t>
  </si>
  <si>
    <t>So00000088310</t>
  </si>
  <si>
    <t>So00000088494</t>
  </si>
  <si>
    <t>So0004051</t>
  </si>
  <si>
    <t>So0003767</t>
  </si>
  <si>
    <t>So00000088486</t>
  </si>
  <si>
    <t>So0007345</t>
  </si>
  <si>
    <t>LIMPEZA DE PISOS CERAMICOS. (OBS.:20%-MATERIAL DE LIMPEZA).</t>
  </si>
  <si>
    <t>02.006.0050-A</t>
  </si>
  <si>
    <t>02.001.0003-A</t>
  </si>
  <si>
    <t>02.002.0007-A</t>
  </si>
  <si>
    <t>04.014.0095-A</t>
  </si>
  <si>
    <t>05.001.0071-A</t>
  </si>
  <si>
    <t>12.003.0180-B</t>
  </si>
  <si>
    <t>15.008.0110-A</t>
  </si>
  <si>
    <t>CABO DE COBRE COM ISOLAMENTO TERMOPLASTICO,COMPREENDENDO:PREPARO,CORTE E ENFIACAO EM ELETRODUTOS,NA BITOLA DE 25MM2,450/ 750V.FORNECIMENTO E COLOCACAO (OBS.:3%-DESGASTE DE FERRAMENTAS E EPI).</t>
  </si>
  <si>
    <t>15.008.0105-A</t>
  </si>
  <si>
    <t>15.008.0100-A</t>
  </si>
  <si>
    <t>15.008.0095-A</t>
  </si>
  <si>
    <t>15.036.0074-A</t>
  </si>
  <si>
    <t>15.018.0130-A</t>
  </si>
  <si>
    <t>15.018.0120-A</t>
  </si>
  <si>
    <t>15.036.0079-A</t>
  </si>
  <si>
    <t>15.036.0048-A</t>
  </si>
  <si>
    <t>15.036.0047-A</t>
  </si>
  <si>
    <t>15.036.0046-A</t>
  </si>
  <si>
    <t>15.036.0045-A</t>
  </si>
  <si>
    <t>18.013.0165-A</t>
  </si>
  <si>
    <t>15.045.0115-A</t>
  </si>
  <si>
    <t>03.001.0001-B</t>
  </si>
  <si>
    <t>11.003.0005-B</t>
  </si>
  <si>
    <t>03.013.0001-B</t>
  </si>
  <si>
    <t>18.032.0030-A</t>
  </si>
  <si>
    <t>18.032.0012-A</t>
  </si>
  <si>
    <t>18.027.0045-A</t>
  </si>
  <si>
    <t>03083</t>
  </si>
  <si>
    <t>11.013.0003-1 VERGAS CONCR. ARMADO P/ ALVEN.</t>
  </si>
  <si>
    <t>18.005.0015-A</t>
  </si>
  <si>
    <t>18.016.0106-A</t>
  </si>
  <si>
    <t>18.016.0105-A</t>
  </si>
  <si>
    <t>18.007.0051-A</t>
  </si>
  <si>
    <t>18.005.0012-A</t>
  </si>
  <si>
    <t>14.004.0120-A</t>
  </si>
  <si>
    <t>14.007.0175-A</t>
  </si>
  <si>
    <t>14.007.0190-A</t>
  </si>
  <si>
    <t>13.003.0010-A</t>
  </si>
  <si>
    <t>13.001.0036-A</t>
  </si>
  <si>
    <t>13.380.0010-A</t>
  </si>
  <si>
    <t>20092</t>
  </si>
  <si>
    <t>MAO-DE-OBRA DE MARMORISTA DE MARMORITE,INCLUSIVE ENCARGOS SOCIAIS DESONERADOS</t>
  </si>
  <si>
    <t>20133</t>
  </si>
  <si>
    <t>MAO-DE-OBRA DE SERVENTE PARA SERVICOS DECONSERVACAO, INCLUSIVE ENCARGOS SOCIAISDESONERADOS</t>
  </si>
  <si>
    <t>13.301.0118-A</t>
  </si>
  <si>
    <t>PEITORIL GRANITO CINZA ANDORINHA, 18X2CM 5%+</t>
  </si>
  <si>
    <t>05.001.0876-A</t>
  </si>
  <si>
    <t>17.018.0265-A</t>
  </si>
  <si>
    <t>05.001.0365-A</t>
  </si>
  <si>
    <t>05.001.0385-A</t>
  </si>
  <si>
    <t>05.001.0350-A</t>
  </si>
  <si>
    <t>05.001.0370-A</t>
  </si>
  <si>
    <t>Composição : 02.020.0001-A</t>
  </si>
  <si>
    <t>SI000097632</t>
  </si>
  <si>
    <t>Composição : SI000097634</t>
  </si>
  <si>
    <t>SI000097622</t>
  </si>
  <si>
    <t>Composição : 05.001.0009-A</t>
  </si>
  <si>
    <t>SI000097631</t>
  </si>
  <si>
    <t>Composição : SI000072178</t>
  </si>
  <si>
    <t>Composição : 05.001.0105-A</t>
  </si>
  <si>
    <t>Composição : 05.001.0146-A</t>
  </si>
  <si>
    <t>SI000097644</t>
  </si>
  <si>
    <t>SI000097645</t>
  </si>
  <si>
    <t>Composição : SI000097645</t>
  </si>
  <si>
    <t>SI000097666</t>
  </si>
  <si>
    <t>SI000097663</t>
  </si>
  <si>
    <t>SI000097660</t>
  </si>
  <si>
    <t>SI000097665</t>
  </si>
  <si>
    <t>Composição : SI000097665</t>
  </si>
  <si>
    <t>SI000072897</t>
  </si>
  <si>
    <t>SI000097914</t>
  </si>
  <si>
    <t>Composição : 12.035.0005-A</t>
  </si>
  <si>
    <t>Composição : SI000093187</t>
  </si>
  <si>
    <t>SI000093197</t>
  </si>
  <si>
    <t>Composição : SI000093128</t>
  </si>
  <si>
    <t>Composição (01) : SI000093141</t>
  </si>
  <si>
    <t>Composição (02) : SI000093141</t>
  </si>
  <si>
    <t>Composição : SI000093144</t>
  </si>
  <si>
    <t>Composição : 18.027.0460-A</t>
  </si>
  <si>
    <t>SI000097605</t>
  </si>
  <si>
    <t>Composição : SI000093655 e SI000093657</t>
  </si>
  <si>
    <t>SI000093661</t>
  </si>
  <si>
    <t>SI000093662</t>
  </si>
  <si>
    <t>SI000093664</t>
  </si>
  <si>
    <t>SI000093672</t>
  </si>
  <si>
    <t>Composição : SI000093673</t>
  </si>
  <si>
    <t>SI74131/005</t>
  </si>
  <si>
    <t>SI74131/006</t>
  </si>
  <si>
    <t>Composição : 15.011.0021-A</t>
  </si>
  <si>
    <t>Composição : SI000096985 + SI000072263</t>
  </si>
  <si>
    <t>Copmposição (01) : SI000089708</t>
  </si>
  <si>
    <t>Composição : SI000089708</t>
  </si>
  <si>
    <t>Composição : SI000089482</t>
  </si>
  <si>
    <t>Composição : 18.013.0165-A</t>
  </si>
  <si>
    <t>SI000098102</t>
  </si>
  <si>
    <t>Composição : SI000097902 + SI000098114</t>
  </si>
  <si>
    <t>Composição (02) : SI000089708</t>
  </si>
  <si>
    <t>Composição : 15.036.0040-A</t>
  </si>
  <si>
    <t>Composição : 15.036.0038-A</t>
  </si>
  <si>
    <t>Composição : 15.036.0037-A</t>
  </si>
  <si>
    <t>Composição : 15.036.0036-A</t>
  </si>
  <si>
    <t>Composição : SI000089367</t>
  </si>
  <si>
    <t>SI000089367</t>
  </si>
  <si>
    <t>SI000089362</t>
  </si>
  <si>
    <t>SI000089358</t>
  </si>
  <si>
    <t>Composição : 15.038.0455-A</t>
  </si>
  <si>
    <t>SI000090373</t>
  </si>
  <si>
    <t>Composição : SI000089617</t>
  </si>
  <si>
    <t>Composição(01)  : SI000089617</t>
  </si>
  <si>
    <t>Composição : SI000089400</t>
  </si>
  <si>
    <t>SI000089400</t>
  </si>
  <si>
    <t>Composição : SI000089619</t>
  </si>
  <si>
    <t>Composição : 15.038.0265-A</t>
  </si>
  <si>
    <t>Composição : 15.038.0250-A</t>
  </si>
  <si>
    <t>Composiçao (01)  : 15.038.0250-A</t>
  </si>
  <si>
    <t>Composição : SI000089374</t>
  </si>
  <si>
    <t>SI000089381</t>
  </si>
  <si>
    <t>SI000094711</t>
  </si>
  <si>
    <t>SI000094662</t>
  </si>
  <si>
    <t>SI000089383</t>
  </si>
  <si>
    <t>SI000094497</t>
  </si>
  <si>
    <t>S000089987</t>
  </si>
  <si>
    <t>SI000089985</t>
  </si>
  <si>
    <t>SI000097629</t>
  </si>
  <si>
    <t>Composição : SI000086889</t>
  </si>
  <si>
    <t>Composição : SI000086936</t>
  </si>
  <si>
    <t>Composição : SI000086912</t>
  </si>
  <si>
    <t>Composição : 18.002.0012-A</t>
  </si>
  <si>
    <t>Composição : 18.016.0120-A</t>
  </si>
  <si>
    <t>SI000086932</t>
  </si>
  <si>
    <t>SI000009535</t>
  </si>
  <si>
    <t>SI000095544</t>
  </si>
  <si>
    <t>SI000095543</t>
  </si>
  <si>
    <t>SI000095547</t>
  </si>
  <si>
    <t>SI74125/002</t>
  </si>
  <si>
    <t>SI000091341</t>
  </si>
  <si>
    <t>Composição : 14.007.0010-A</t>
  </si>
  <si>
    <t>Composição : 14.007.0025-A</t>
  </si>
  <si>
    <t>Composição : SI000094569</t>
  </si>
  <si>
    <t>Composição (01) : SI000094569</t>
  </si>
  <si>
    <t>Composição : 14.003.0076-A</t>
  </si>
  <si>
    <t>Composição (01) : 14.003.0076-A</t>
  </si>
  <si>
    <t>SI000072118</t>
  </si>
  <si>
    <t>SI000087879</t>
  </si>
  <si>
    <t>Composição : SI000087273</t>
  </si>
  <si>
    <t>SI000087260</t>
  </si>
  <si>
    <t>Composição : 13.380.0015-A</t>
  </si>
  <si>
    <t>SI000098689</t>
  </si>
  <si>
    <t>13.348.0050-</t>
  </si>
  <si>
    <t>Composição : 13.348.0050-A</t>
  </si>
  <si>
    <t>SI000088482</t>
  </si>
  <si>
    <t>SI000088494</t>
  </si>
  <si>
    <t>SI000088486</t>
  </si>
  <si>
    <r>
      <t xml:space="preserve">Fonte Oficial dos Preços :  SINAPI / EMOP -  RJ  - </t>
    </r>
    <r>
      <rPr>
        <b/>
        <i/>
        <u/>
        <sz val="9"/>
        <color theme="1"/>
        <rFont val="Times New Roman"/>
        <family val="1"/>
      </rPr>
      <t xml:space="preserve"> COM Desoneração  - Abr/2019</t>
    </r>
  </si>
  <si>
    <t>Revisão :</t>
  </si>
  <si>
    <t>Engº Patrick Suckow</t>
  </si>
  <si>
    <t>Arqª Rosália Reis</t>
  </si>
  <si>
    <t xml:space="preserve">Engº João Vitor da Silva Ramos </t>
  </si>
  <si>
    <r>
      <t xml:space="preserve">Fonte Oficial dos Preços :  SINAPI / EMOP -  RJ  -  </t>
    </r>
    <r>
      <rPr>
        <b/>
        <i/>
        <u/>
        <sz val="12"/>
        <color theme="1"/>
        <rFont val="Times New Roman"/>
        <family val="1"/>
      </rPr>
      <t>SEM Desoneração  - SET/2019</t>
    </r>
  </si>
  <si>
    <r>
      <t xml:space="preserve">Fonte Oficial dos Preços :  SINAPI / EMOP -  RJ  - </t>
    </r>
    <r>
      <rPr>
        <b/>
        <i/>
        <u/>
        <sz val="9"/>
        <color theme="1"/>
        <rFont val="Times New Roman"/>
        <family val="1"/>
      </rPr>
      <t xml:space="preserve"> SEM Desoneração  - SET/2019</t>
    </r>
  </si>
  <si>
    <r>
      <t xml:space="preserve">Fonte Oficial dos Preços :  SINAPI / EMOP -  RJ  -  </t>
    </r>
    <r>
      <rPr>
        <b/>
        <i/>
        <u/>
        <sz val="12"/>
        <rFont val="Times New Roman"/>
        <family val="1"/>
      </rPr>
      <t>SEM Desoneração  - SET/2019</t>
    </r>
  </si>
  <si>
    <t>PLACA DE IDENTIFICACAO DE OBRA PUBLICA, INCLUSIVE  SUPORTES DE MADEIRA.FORNECIMENTO E COLOCACAO (OBS.:3% - DESGASTE DE FERRAMENTAS E EPI).</t>
  </si>
  <si>
    <t>DEMOLIÇÃO DE REVESTIMENTO DE PISO DE MARMORITE, DE FORMA MECANIZADA COM MARTELETE, SEM REAPROVEITAMENTO. AF_12/2017</t>
  </si>
  <si>
    <r>
      <t>DEMOLICAO DE REVESTIMENTO EM AZULEJOS,</t>
    </r>
    <r>
      <rPr>
        <strike/>
        <sz val="9"/>
        <rFont val="Times New Roman"/>
        <family val="1"/>
      </rPr>
      <t xml:space="preserve"> </t>
    </r>
    <r>
      <rPr>
        <sz val="9"/>
        <rFont val="Times New Roman"/>
        <family val="1"/>
      </rPr>
      <t>PAREDE, EXCLUSIVE A CAMADA DE ASSENTAMENTO (OBS.:3%-DESGASTE DE FERRAMENTAS E EPI).</t>
    </r>
  </si>
  <si>
    <t>RETIRADA DE DIVISORIAS EM CHAPAS DE EUCATEX, COM MONTANTES METALICOS</t>
  </si>
  <si>
    <t>REMOCAO CUIDADOSA DE DIVISORIA DE MARMORITE (OBS.:3%-DESGASTE DE FERRAMENTAS E EPI).</t>
  </si>
  <si>
    <t>REMOÇÃO DE GRADES METÁLICAS, DE FORMA MANUAL, SEM REAPROVEITAMENTO. AF_12/2017</t>
  </si>
  <si>
    <t>PAREDE DIVISORIA PARA SANITARIO EM GRANITO CINZA CORUMBA, COM 3CM DE ESPESSURA, POLIDA NAS DUAS FACES, FIXACAO PISO OU PAREDE, INCLUSIVE FERRAGENS PARA FIXACAO. FORNECIMENTO E COLOCACAO (OBS.:3%-DESGASTE DE FERRAMENTAS E EPI).</t>
  </si>
  <si>
    <t>ENTRADA DE ENERGIA INDIVIDUAL, PADRAO LIGHT, MEDICAO DIRETA, REDE AEREA, DEMANDA ATE 8KVA, INCLUSIVE CAIXA POLIMÉRICA POLIFÁSICA  CM3  E CAIXA POLIMÉRICA PARA DISJUNTOR TRIPOLAR  CDJ3  E DEMAIS MATERIAIS NECESSARIOS, EXCLUSIVE POSTE, DISJUNTOR E FIOS DE ENTRADA E SAIDA (OBS.:3%-DESGASTE DE FERRAMENTAS E EPI).</t>
  </si>
  <si>
    <r>
      <t xml:space="preserve">CAIXA SIFONADA, PVC, DN  150x150x50mm           </t>
    </r>
    <r>
      <rPr>
        <strike/>
        <sz val="9"/>
        <rFont val="Times New Roman"/>
        <family val="1"/>
      </rPr>
      <t>150 X 185 X 75 MM</t>
    </r>
    <r>
      <rPr>
        <sz val="9"/>
        <rFont val="Times New Roman"/>
        <family val="1"/>
      </rPr>
      <t>, JUNTA ELÁSTICA, FORNECIDA E INSTALADA EM RAMAL DE DESCARGA OU EM RAMAL DE ESGOTO SANITÁRIO. AF_12/2014</t>
    </r>
  </si>
  <si>
    <r>
      <t xml:space="preserve">CAIXA  SECA, C/PORTA GRELHA QUADRADA,                  </t>
    </r>
    <r>
      <rPr>
        <strike/>
        <sz val="9"/>
        <rFont val="Times New Roman"/>
        <family val="1"/>
      </rPr>
      <t>SIFONADA</t>
    </r>
    <r>
      <rPr>
        <sz val="9"/>
        <rFont val="Times New Roman"/>
        <family val="1"/>
      </rPr>
      <t xml:space="preserve">, PVC, DN   100X100X40CMm            </t>
    </r>
    <r>
      <rPr>
        <strike/>
        <sz val="9"/>
        <rFont val="Times New Roman"/>
        <family val="1"/>
      </rPr>
      <t>100 X 100 X 50 MM</t>
    </r>
    <r>
      <rPr>
        <sz val="9"/>
        <rFont val="Times New Roman"/>
        <family val="1"/>
      </rPr>
      <t>, FORNECIDA E INSTALADA EM RAMAIS DE ENCAMINHAMENTO DE ÁGUA PLUVIAL. AF_12/2014</t>
    </r>
  </si>
  <si>
    <t>GRELHA DE ACO INOX,  15x15CM, SISTEMA ROTATIVO, COM CAIXILHO. FORNECIMENTO</t>
  </si>
  <si>
    <r>
      <t xml:space="preserve">CAIXA ENTERRADA / INSPEÇÃO HIDRÁULICA RETANGULAR EM ALVENARIA COM TIJOLOS CERÂMICOS MACIÇOS, DIMENSÕES INTERNAS: 0,6X0,6X0,6 M PARA REDE DE ESGOTO. AF_05/2018, </t>
    </r>
    <r>
      <rPr>
        <b/>
        <i/>
        <u/>
        <sz val="9"/>
        <rFont val="Times New Roman"/>
        <family val="1"/>
      </rPr>
      <t>INCLUSIVE</t>
    </r>
    <r>
      <rPr>
        <sz val="9"/>
        <rFont val="Times New Roman"/>
        <family val="1"/>
      </rPr>
      <t xml:space="preserve">  TAMPA CIRCULAR PARA ESGOTO E DRENAGEM, EM FERRO FUNDIDO, DIÂMETRO INTERNO = 0,6 M. AF_05/2018</t>
    </r>
  </si>
  <si>
    <t>TUBO DE PVC RIGIDO DE 50MM,SOLDAVEL, INCLUSIVE EMENDAS,EXCLUSIVE ABERTURA E FECHAMENTO DE RASGO.FORNECIMENTO E ASSENTAMENTO (OBS.:3%-DESGASTE DE FERRAMENTAS E EPI 10%-CONEXOES E EMENDAS).</t>
  </si>
  <si>
    <t>TUBO DE PVC RIGIDO DE 32MM,SOLDAVEL, INCLUSIVE EMENDAS,EXCLUSIVE ABERTURA E FECHAMENTO DE RASGO.FORNECIMENTO E ASSENTAMENTO (OBS.:3%-DESGASTE DE FERRAMENTAS E EPI 10%-CONEXOES E EMENDAS).</t>
  </si>
  <si>
    <r>
      <t xml:space="preserve">TUBO DE PVC RIGIDO DE 25MM,SOLDAVEL, INCLUSIVE </t>
    </r>
    <r>
      <rPr>
        <strike/>
        <sz val="9"/>
        <rFont val="Times New Roman"/>
        <family val="1"/>
      </rPr>
      <t xml:space="preserve"> </t>
    </r>
    <r>
      <rPr>
        <sz val="9"/>
        <rFont val="Times New Roman"/>
        <family val="1"/>
      </rPr>
      <t>EMENDAS,EXCLUSIVE ABERTURA E FECHAMENTO DE RASGO.FORNECIMENTO E ASSENTAMENTO (OBS.:3%-DESGASTE DE FERRAMENTAS E EPI 10%-CONEXOES E EMENDAS).</t>
    </r>
  </si>
  <si>
    <r>
      <t xml:space="preserve">TUBO DE PVC RIGIDO DE 20MM,SOLDAVEL, INCLUSIVE </t>
    </r>
    <r>
      <rPr>
        <strike/>
        <sz val="9"/>
        <rFont val="Times New Roman"/>
        <family val="1"/>
      </rPr>
      <t xml:space="preserve"> </t>
    </r>
    <r>
      <rPr>
        <sz val="9"/>
        <rFont val="Times New Roman"/>
        <family val="1"/>
      </rPr>
      <t>EMENDAS,EXCLUSIVE ABERTURA E FECHAMENTO DE RASGO.FORNECIMENTO E ASSENTAMENTO (OBS.:3%-DESGASTE DE FERRAMENTAS E EPI 10%-CONEXOES E EMENDAS).</t>
    </r>
  </si>
  <si>
    <t>JOELHO 90 GRAUS, PVC, SOLDÁVEL, DN 50MM, INSTALADO EM RAMAL OU SUB-RAMAL DE ÁGUA - FORNECIMENTO E INSTALAÇÃO. AF_12/2014</t>
  </si>
  <si>
    <t>TE, PVC, SOLDÁVEL, DN 32 MM, INSTALADO EM RAMAL OU SUB-RAMAL DE ÁGUA  - FORNECIMENTO E INSTALAÇÃO. AF_12/2014</t>
  </si>
  <si>
    <t>TE, PVC, SOLDÁVEL, DN 25MM, INSTALADO EM RAMAL OU SUB-RAMAL DE ÁGUA  - FORNECIMENTO E INSTALAÇÃO. AF_12/2014</t>
  </si>
  <si>
    <t>TÊ DE REDUÇÃO, PVC, SOLDÁVEL, DN 50 x 32MM, INSTALADO EM RAMAL OU SUB-RAMAL DE ÁGUA - FORNECIMENTO E INSTALAÇÃO. AF_12/2014</t>
  </si>
  <si>
    <t>BUCHA DE REDUCAO SOLDAVEL CURTA,COM DIAMETRO DE 32MM x 25MM. FORNECIMENTO E INSTALAÇÃO</t>
  </si>
  <si>
    <t>LUVA COM BUCHA DE LATÃO, PVC, SOLDÁVEL, DN 25MM x 1/2", INSTALADO EM RAMAL OU SUB-RAMAL DE ÁGUA - FORNECIMENTO E INSTALAÇÃO. AF_12/2014</t>
  </si>
  <si>
    <r>
      <t xml:space="preserve">BANCADA DE GRANITO CINZA CORUMBÁ, POLIDO, PARA PIA DE COZINHA, DE 1,90x0,60m=1,14m2, COM 3CM DE ESPESSURA,COM ABERTURA PARA 1 CUBA (EXCLUSIVE ESTA).        </t>
    </r>
    <r>
      <rPr>
        <strike/>
        <sz val="9"/>
        <rFont val="Times New Roman"/>
        <family val="1"/>
      </rPr>
      <t xml:space="preserve"> </t>
    </r>
    <r>
      <rPr>
        <sz val="9"/>
        <rFont val="Times New Roman"/>
        <family val="1"/>
      </rPr>
      <t>- FORNECIMENTO E INSTALAÇÃO. AF_12/2013</t>
    </r>
  </si>
  <si>
    <t>BANCADA CEGA DE GRANITO CINZA CORUMBÁ, POLIDO, PARA PIA DE COZINHA, DE 2,64x0,50m=1,32m2, COM 3CM DE ESPESSURA.- FORNECIMENTO E INSTALAÇÃO. AF_12/2013</t>
  </si>
  <si>
    <r>
      <t xml:space="preserve">BARRA DE APOIO RETRATIL (ARTICULADA) EM ACO INOXIDAVEL AISI 304, em  </t>
    </r>
    <r>
      <rPr>
        <b/>
        <sz val="14"/>
        <rFont val="Times New Roman"/>
        <family val="1"/>
      </rPr>
      <t>"U'</t>
    </r>
    <r>
      <rPr>
        <sz val="9"/>
        <rFont val="Times New Roman"/>
        <family val="1"/>
      </rPr>
      <t xml:space="preserve">  TUBO DE 1.1/4", INCLUSIVE FIXACAO COM PARAFUSOS INOXIDAVEIS E BUCHAS PLASTICAS, COM 25CM a 30CM, PARA PESSOAS COM NECESSIDADES ESPECIFICAS.FORNECIMENTO E COLOCACAO (OBS.:3%-DESGASTE DE FERRAMENTAS E EPI).</t>
    </r>
  </si>
  <si>
    <r>
      <t>VASO SANITARIO SIFONADO, PARA PCD,  SEM FURO FRONTAL, DE  LOUÇA BRANCA, COM ASSENTO, COM CAIXA ACOPLADA DE LOUÇA BRANCA. H=440mm; C=610mm; L=360mm.</t>
    </r>
    <r>
      <rPr>
        <strike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FORNECIMENTO E INSTALAÇÃO. AF_10/2016</t>
    </r>
  </si>
  <si>
    <t>FERRAGENS P/PORTA DE ALUMÍNIO, DE 1 FOLHA DE ABRIR, CONSTANDO DE  : -FECHADURA DE CILINDRO,  DE LATAO CROMADO; -MACANETA TIPO ALAVANCA, DE LATAO,  ACABAMENTO CROMADO; -ESPELHO DE LATAO FUNDIDO OU LAMINADO, FORMA RETANGULAR OU SEMI-ELIPTICA, ACABAMENTO CROMADO; -3 DOBRADICAS3"X3" DE ACO LAMINADO, COM PINO E BOLAS DE FERRO</t>
  </si>
  <si>
    <t>JANELA BASCULANTE (1,20x0,60m=0,72m2x5 unid) DE ALUMINIO ANODIZADO AO NATURAL,EM PERFIS SERIE 28.FORNECIMENTO E COLOCACAO (OBS.:3%-DESGASTE DE FERRAMENTAS E EPI 23%-ANODIZACAO E ACESSORIOS).</t>
  </si>
  <si>
    <t>MEMÓRIA DE CÁLCULO</t>
  </si>
  <si>
    <t>BANCA DE ACO INOXIDAVEL DE 2,00X0,55M,EM CHAPA 18.304,COM UMA CUBA DE 500X400X200MM EM CHAPA 20.304,VALVULA DE ESCOAMENT O TIPO AMERICANA 1623,SIFAO 1680 1.1/2"X1.1/2",SOBRE APOIOSDE ALVENARIA DE MEIA VEZ E VERGA DE CONCRETO,SEM REVESTIMENT O,EXCLUSIVE TORNEIRA.FORNECIMENTO E COLOCACAO (OBS.:3%-DESGASTE DE FERRAMENTAS E EPI).</t>
  </si>
  <si>
    <t>Composição : 18.016.0030-0</t>
  </si>
  <si>
    <t>So00000097665 COMPOSIÇÃO</t>
  </si>
  <si>
    <t>TOMADA MÉDIA DE EMBUTIR (1 MÓDULO), 2P+T 10 A, INCLUINDO SUPORTE E PLACA - FORNECIMENTO E INSTALAÇÃO. AF_12/2015</t>
  </si>
  <si>
    <t>CAIXA RETANGULAR 4" X 2" MÉDIA (1,30 M DO PISO), PVC, INSTALADA EM PAREDE - FORNECIMENTO E INSTALAÇÃO. AF_12/2015</t>
  </si>
  <si>
    <t>CAIXA OCTOGONAL 3" X 3", PVC, INSTALADA EM LAJE - FORNECIMENTO E INSTALAÇÃO. AF_12/2015</t>
  </si>
  <si>
    <t>ELETRODUTO FLEXÍVEL CORRUGADO, PVC, DN 20 MM (1/2"), PARA CIRCUITOS TERMINAIS, INSTALADO EM PAREDE - FORNECIMENTO E INSTALAÇÃO. AF_12/2015</t>
  </si>
  <si>
    <t>So00000091854</t>
  </si>
  <si>
    <t>ELETRODUTO FLEXÍVEL CORRUGADO, PVC, DN 20 MM (1/2"), PARA CIRCUITOS TERMINAIS, INSTALADO EM LAJE - FORNECIMENTO E INSTALAÇÃO. AF_12/2015</t>
  </si>
  <si>
    <t>So00000091844</t>
  </si>
  <si>
    <t>CHUMBAMENTO LINEAR EM ALVENARIA PARA RAMAIS/DISTRIBUIÇÃO COM DIÂMETROS MENORES OU IGUAIS A 40 MM. AF_05/2015</t>
  </si>
  <si>
    <t>QUEBRA EM ALVENARIA PARA INSTALAÇÃO DE CAIXA DE TOMADA (4X4 OU 4X2). AF_05/2015</t>
  </si>
  <si>
    <t>RASGO EM ALVENARIA PARA ELETRODUTOS COM DIAMETROS MENORES OU IGUAIS A 40 MM. AF_05/2015</t>
  </si>
  <si>
    <t>SUPORTE PARAFUSADO COM PLACA DE ENCAIXE 4" X 2" ALTO (2,00 M DO PISO) PARA PONTO ELÉTRICO - FORNECIMENTO E INSTALAÇÃO. AF_12/2015</t>
  </si>
  <si>
    <t>18.016.0030-0 (composição)</t>
  </si>
  <si>
    <r>
      <t>So000072897</t>
    </r>
    <r>
      <rPr>
        <b/>
        <sz val="9"/>
        <color theme="1"/>
        <rFont val="Times New Roman"/>
        <family val="1"/>
      </rPr>
      <t xml:space="preserve"> (COMPOSIÇÃO)</t>
    </r>
  </si>
  <si>
    <t>10/06/2020</t>
  </si>
  <si>
    <t>02</t>
  </si>
  <si>
    <t>Composição : So000095471</t>
  </si>
  <si>
    <t>10/06/20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</si>
</sst>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0"/>
    <numFmt numFmtId="165" formatCode="#,##0.000000"/>
    <numFmt numFmtId="166" formatCode="#,##0.00000"/>
    <numFmt numFmtId="167" formatCode="#,##0.00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b/>
      <sz val="11"/>
      <name val="Times New Roman"/>
      <family val="1"/>
    </font>
    <font>
      <b/>
      <sz val="9"/>
      <color theme="1"/>
      <name val="Times New Roman"/>
      <family val="1"/>
    </font>
    <font>
      <strike/>
      <sz val="9"/>
      <color theme="1"/>
      <name val="Times New Roman"/>
      <family val="1"/>
    </font>
    <font>
      <strike/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i/>
      <sz val="12"/>
      <name val="Arial"/>
      <family val="2"/>
    </font>
    <font>
      <b/>
      <sz val="18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u/>
      <sz val="12"/>
      <color theme="1"/>
      <name val="Times New Roman"/>
      <family val="1"/>
    </font>
    <font>
      <b/>
      <sz val="14"/>
      <name val="Arial"/>
      <family val="2"/>
    </font>
    <font>
      <b/>
      <i/>
      <u/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i/>
      <u/>
      <sz val="12"/>
      <name val="Times New Roman"/>
      <family val="1"/>
    </font>
    <font>
      <b/>
      <i/>
      <sz val="12"/>
      <name val="Times New Roman"/>
      <family val="1"/>
    </font>
    <font>
      <b/>
      <i/>
      <u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/>
      <bottom style="mediumDashed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Dashed">
        <color indexed="64"/>
      </right>
      <top/>
      <bottom/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auto="1"/>
      </bottom>
      <diagonal/>
    </border>
    <border>
      <left style="mediumDashed">
        <color auto="1"/>
      </left>
      <right/>
      <top style="thin">
        <color auto="1"/>
      </top>
      <bottom/>
      <diagonal/>
    </border>
    <border>
      <left/>
      <right style="mediumDashed">
        <color indexed="64"/>
      </right>
      <top style="thin">
        <color auto="1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/>
      <diagonal/>
    </border>
    <border>
      <left style="mediumDashed">
        <color indexed="64"/>
      </left>
      <right style="thin">
        <color indexed="64"/>
      </right>
      <top style="thin">
        <color indexed="64"/>
      </top>
      <bottom/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70">
    <xf numFmtId="0" fontId="0" fillId="0" borderId="0" xfId="0"/>
    <xf numFmtId="0" fontId="5" fillId="0" borderId="0" xfId="0" applyFont="1" applyFill="1"/>
    <xf numFmtId="4" fontId="9" fillId="0" borderId="1" xfId="0" applyNumberFormat="1" applyFont="1" applyFill="1" applyBorder="1"/>
    <xf numFmtId="4" fontId="9" fillId="0" borderId="3" xfId="0" applyNumberFormat="1" applyFont="1" applyFill="1" applyBorder="1"/>
    <xf numFmtId="4" fontId="9" fillId="0" borderId="4" xfId="0" applyNumberFormat="1" applyFont="1" applyFill="1" applyBorder="1"/>
    <xf numFmtId="49" fontId="8" fillId="0" borderId="6" xfId="5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164" fontId="7" fillId="0" borderId="7" xfId="0" applyNumberFormat="1" applyFont="1" applyFill="1" applyBorder="1" applyAlignment="1">
      <alignment horizontal="center" vertical="center" wrapText="1"/>
    </xf>
    <xf numFmtId="43" fontId="5" fillId="0" borderId="12" xfId="0" applyNumberFormat="1" applyFont="1" applyFill="1" applyBorder="1" applyAlignment="1">
      <alignment horizontal="right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49" fontId="4" fillId="0" borderId="2" xfId="4" applyNumberFormat="1" applyFont="1" applyFill="1" applyBorder="1" applyAlignment="1">
      <alignment horizontal="left" vertical="center"/>
    </xf>
    <xf numFmtId="49" fontId="4" fillId="0" borderId="0" xfId="4" applyNumberFormat="1" applyFont="1" applyFill="1" applyBorder="1" applyAlignment="1">
      <alignment horizontal="left" vertical="center"/>
    </xf>
    <xf numFmtId="164" fontId="4" fillId="0" borderId="6" xfId="4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/>
    </xf>
    <xf numFmtId="164" fontId="5" fillId="0" borderId="6" xfId="4" applyNumberFormat="1" applyFont="1" applyFill="1" applyBorder="1" applyAlignment="1">
      <alignment horizontal="center" vertical="center" wrapText="1"/>
    </xf>
    <xf numFmtId="0" fontId="5" fillId="0" borderId="0" xfId="2" applyFont="1"/>
    <xf numFmtId="0" fontId="6" fillId="0" borderId="12" xfId="0" applyFont="1" applyBorder="1" applyAlignment="1">
      <alignment vertical="center"/>
    </xf>
    <xf numFmtId="0" fontId="5" fillId="0" borderId="0" xfId="0" applyFont="1"/>
    <xf numFmtId="0" fontId="6" fillId="0" borderId="13" xfId="0" applyFont="1" applyBorder="1" applyAlignment="1">
      <alignment vertical="center"/>
    </xf>
    <xf numFmtId="10" fontId="5" fillId="0" borderId="12" xfId="0" applyNumberFormat="1" applyFont="1" applyBorder="1" applyAlignment="1">
      <alignment horizontal="right" wrapText="1"/>
    </xf>
    <xf numFmtId="10" fontId="5" fillId="0" borderId="12" xfId="0" applyNumberFormat="1" applyFont="1" applyBorder="1" applyAlignment="1">
      <alignment horizontal="right" vertical="center" wrapText="1"/>
    </xf>
    <xf numFmtId="10" fontId="5" fillId="0" borderId="13" xfId="0" applyNumberFormat="1" applyFont="1" applyBorder="1" applyAlignment="1">
      <alignment horizontal="right" wrapText="1"/>
    </xf>
    <xf numFmtId="10" fontId="5" fillId="0" borderId="13" xfId="0" applyNumberFormat="1" applyFont="1" applyBorder="1" applyAlignment="1">
      <alignment horizontal="right" vertical="center" wrapText="1"/>
    </xf>
    <xf numFmtId="10" fontId="5" fillId="0" borderId="13" xfId="0" applyNumberFormat="1" applyFont="1" applyBorder="1" applyAlignment="1">
      <alignment horizontal="right" vertical="center"/>
    </xf>
    <xf numFmtId="10" fontId="5" fillId="0" borderId="12" xfId="0" applyNumberFormat="1" applyFont="1" applyBorder="1" applyAlignment="1">
      <alignment horizontal="right"/>
    </xf>
    <xf numFmtId="10" fontId="5" fillId="0" borderId="13" xfId="0" applyNumberFormat="1" applyFont="1" applyBorder="1" applyAlignment="1">
      <alignment horizontal="right"/>
    </xf>
    <xf numFmtId="10" fontId="5" fillId="0" borderId="12" xfId="0" applyNumberFormat="1" applyFont="1" applyBorder="1" applyAlignment="1">
      <alignment horizontal="right" vertical="center"/>
    </xf>
    <xf numFmtId="10" fontId="5" fillId="0" borderId="23" xfId="0" applyNumberFormat="1" applyFont="1" applyBorder="1" applyAlignment="1">
      <alignment horizontal="right" vertical="center"/>
    </xf>
    <xf numFmtId="43" fontId="5" fillId="0" borderId="0" xfId="0" applyNumberFormat="1" applyFont="1"/>
    <xf numFmtId="0" fontId="5" fillId="0" borderId="0" xfId="0" applyFont="1" applyBorder="1"/>
    <xf numFmtId="49" fontId="7" fillId="0" borderId="6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/>
    <xf numFmtId="164" fontId="7" fillId="0" borderId="6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/>
    <xf numFmtId="164" fontId="7" fillId="0" borderId="2" xfId="0" applyNumberFormat="1" applyFont="1" applyFill="1" applyBorder="1" applyAlignment="1">
      <alignment horizontal="left" vertical="center" wrapText="1"/>
    </xf>
    <xf numFmtId="164" fontId="7" fillId="0" borderId="0" xfId="0" applyNumberFormat="1" applyFont="1" applyFill="1"/>
    <xf numFmtId="4" fontId="10" fillId="0" borderId="6" xfId="5" applyNumberFormat="1" applyFont="1" applyFill="1" applyBorder="1" applyAlignment="1">
      <alignment horizontal="center" vertical="center"/>
    </xf>
    <xf numFmtId="4" fontId="8" fillId="0" borderId="0" xfId="4" applyNumberFormat="1" applyFont="1" applyFill="1"/>
    <xf numFmtId="4" fontId="10" fillId="0" borderId="6" xfId="5" applyNumberFormat="1" applyFont="1" applyFill="1" applyBorder="1" applyAlignment="1">
      <alignment horizontal="left" vertical="center" wrapText="1"/>
    </xf>
    <xf numFmtId="49" fontId="8" fillId="0" borderId="13" xfId="5" applyNumberFormat="1" applyFont="1" applyFill="1" applyBorder="1" applyAlignment="1">
      <alignment horizontal="center" vertical="center" wrapText="1"/>
    </xf>
    <xf numFmtId="4" fontId="8" fillId="0" borderId="13" xfId="5" applyNumberFormat="1" applyFont="1" applyFill="1" applyBorder="1" applyAlignment="1">
      <alignment horizontal="left" vertical="center" wrapText="1"/>
    </xf>
    <xf numFmtId="4" fontId="10" fillId="0" borderId="13" xfId="5" applyNumberFormat="1" applyFont="1" applyFill="1" applyBorder="1" applyAlignment="1">
      <alignment horizontal="left" vertical="center" wrapText="1"/>
    </xf>
    <xf numFmtId="0" fontId="7" fillId="0" borderId="0" xfId="0" applyFont="1" applyFill="1" applyBorder="1"/>
    <xf numFmtId="4" fontId="8" fillId="0" borderId="0" xfId="4" applyNumberFormat="1" applyFont="1" applyFill="1" applyBorder="1"/>
    <xf numFmtId="4" fontId="7" fillId="0" borderId="13" xfId="0" applyNumberFormat="1" applyFont="1" applyFill="1" applyBorder="1" applyAlignment="1">
      <alignment horizontal="right" wrapText="1"/>
    </xf>
    <xf numFmtId="4" fontId="8" fillId="0" borderId="13" xfId="5" applyNumberFormat="1" applyFont="1" applyFill="1" applyBorder="1" applyAlignment="1">
      <alignment horizontal="right" wrapText="1"/>
    </xf>
    <xf numFmtId="164" fontId="8" fillId="0" borderId="13" xfId="5" applyNumberFormat="1" applyFont="1" applyFill="1" applyBorder="1" applyAlignment="1">
      <alignment horizontal="right" wrapText="1"/>
    </xf>
    <xf numFmtId="49" fontId="8" fillId="0" borderId="23" xfId="5" applyNumberFormat="1" applyFont="1" applyFill="1" applyBorder="1" applyAlignment="1">
      <alignment horizontal="center" vertical="center" wrapText="1"/>
    </xf>
    <xf numFmtId="4" fontId="8" fillId="0" borderId="6" xfId="5" applyNumberFormat="1" applyFont="1" applyFill="1" applyBorder="1" applyAlignment="1">
      <alignment horizontal="left" vertical="center" wrapText="1"/>
    </xf>
    <xf numFmtId="4" fontId="8" fillId="0" borderId="6" xfId="5" applyNumberFormat="1" applyFont="1" applyFill="1" applyBorder="1" applyAlignment="1">
      <alignment horizontal="center" wrapText="1"/>
    </xf>
    <xf numFmtId="4" fontId="8" fillId="0" borderId="6" xfId="5" applyNumberFormat="1" applyFont="1" applyFill="1" applyBorder="1" applyAlignment="1">
      <alignment horizontal="right" wrapText="1"/>
    </xf>
    <xf numFmtId="4" fontId="8" fillId="0" borderId="6" xfId="5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8" fillId="0" borderId="12" xfId="5" applyNumberFormat="1" applyFont="1" applyFill="1" applyBorder="1" applyAlignment="1">
      <alignment horizontal="center" vertical="center" wrapText="1"/>
    </xf>
    <xf numFmtId="4" fontId="8" fillId="0" borderId="12" xfId="5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4" fontId="7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wrapText="1"/>
    </xf>
    <xf numFmtId="49" fontId="10" fillId="0" borderId="6" xfId="5" applyNumberFormat="1" applyFont="1" applyFill="1" applyBorder="1" applyAlignment="1">
      <alignment horizontal="center" vertical="center" wrapText="1"/>
    </xf>
    <xf numFmtId="4" fontId="10" fillId="0" borderId="6" xfId="5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2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/>
    <xf numFmtId="164" fontId="5" fillId="0" borderId="0" xfId="0" applyNumberFormat="1" applyFont="1" applyFill="1" applyBorder="1"/>
    <xf numFmtId="4" fontId="9" fillId="0" borderId="1" xfId="2" applyNumberFormat="1" applyFont="1" applyFill="1" applyBorder="1"/>
    <xf numFmtId="4" fontId="5" fillId="0" borderId="2" xfId="2" applyNumberFormat="1" applyFont="1" applyFill="1" applyBorder="1"/>
    <xf numFmtId="4" fontId="9" fillId="0" borderId="3" xfId="2" applyNumberFormat="1" applyFont="1" applyFill="1" applyBorder="1"/>
    <xf numFmtId="4" fontId="5" fillId="0" borderId="0" xfId="2" applyNumberFormat="1" applyFont="1" applyFill="1" applyBorder="1"/>
    <xf numFmtId="164" fontId="5" fillId="0" borderId="10" xfId="0" applyNumberFormat="1" applyFont="1" applyFill="1" applyBorder="1"/>
    <xf numFmtId="164" fontId="5" fillId="0" borderId="9" xfId="0" applyNumberFormat="1" applyFont="1" applyFill="1" applyBorder="1"/>
    <xf numFmtId="164" fontId="4" fillId="0" borderId="0" xfId="2" applyNumberFormat="1" applyFont="1" applyFill="1" applyBorder="1" applyAlignment="1">
      <alignment vertical="center"/>
    </xf>
    <xf numFmtId="164" fontId="5" fillId="0" borderId="0" xfId="2" applyNumberFormat="1" applyFont="1" applyFill="1" applyBorder="1" applyAlignment="1">
      <alignment horizontal="center" vertical="center" wrapText="1"/>
    </xf>
    <xf numFmtId="164" fontId="5" fillId="0" borderId="0" xfId="2" applyNumberFormat="1" applyFont="1" applyFill="1" applyBorder="1" applyAlignment="1">
      <alignment horizontal="left" vertical="center"/>
    </xf>
    <xf numFmtId="164" fontId="5" fillId="0" borderId="0" xfId="2" applyNumberFormat="1" applyFont="1" applyFill="1" applyBorder="1" applyAlignment="1">
      <alignment horizontal="right" wrapText="1"/>
    </xf>
    <xf numFmtId="164" fontId="5" fillId="0" borderId="0" xfId="2" applyNumberFormat="1" applyFont="1" applyFill="1" applyBorder="1" applyAlignment="1">
      <alignment horizontal="center"/>
    </xf>
    <xf numFmtId="49" fontId="5" fillId="0" borderId="0" xfId="2" applyNumberFormat="1" applyFont="1" applyFill="1" applyAlignment="1">
      <alignment horizontal="left" vertical="top"/>
    </xf>
    <xf numFmtId="164" fontId="5" fillId="0" borderId="0" xfId="2" applyNumberFormat="1" applyFont="1" applyFill="1"/>
    <xf numFmtId="3" fontId="5" fillId="0" borderId="0" xfId="2" applyNumberFormat="1" applyFont="1" applyFill="1"/>
    <xf numFmtId="164" fontId="5" fillId="0" borderId="0" xfId="2" applyNumberFormat="1" applyFont="1" applyFill="1" applyAlignment="1">
      <alignment horizontal="right"/>
    </xf>
    <xf numFmtId="49" fontId="6" fillId="0" borderId="40" xfId="2" applyNumberFormat="1" applyFont="1" applyFill="1" applyBorder="1" applyAlignment="1">
      <alignment horizontal="center" vertical="top"/>
    </xf>
    <xf numFmtId="164" fontId="6" fillId="0" borderId="16" xfId="2" applyNumberFormat="1" applyFont="1" applyFill="1" applyBorder="1"/>
    <xf numFmtId="3" fontId="5" fillId="0" borderId="16" xfId="2" applyNumberFormat="1" applyFont="1" applyFill="1" applyBorder="1"/>
    <xf numFmtId="164" fontId="5" fillId="0" borderId="16" xfId="2" applyNumberFormat="1" applyFont="1" applyFill="1" applyBorder="1"/>
    <xf numFmtId="164" fontId="5" fillId="0" borderId="16" xfId="2" applyNumberFormat="1" applyFont="1" applyFill="1" applyBorder="1" applyAlignment="1">
      <alignment horizontal="right"/>
    </xf>
    <xf numFmtId="164" fontId="5" fillId="0" borderId="17" xfId="2" applyNumberFormat="1" applyFont="1" applyFill="1" applyBorder="1"/>
    <xf numFmtId="49" fontId="6" fillId="0" borderId="18" xfId="2" applyNumberFormat="1" applyFont="1" applyFill="1" applyBorder="1" applyAlignment="1">
      <alignment horizontal="center" vertical="top"/>
    </xf>
    <xf numFmtId="164" fontId="5" fillId="0" borderId="0" xfId="2" applyNumberFormat="1" applyFont="1" applyFill="1" applyBorder="1"/>
    <xf numFmtId="164" fontId="6" fillId="0" borderId="0" xfId="2" applyNumberFormat="1" applyFont="1" applyFill="1" applyBorder="1"/>
    <xf numFmtId="3" fontId="5" fillId="0" borderId="0" xfId="2" applyNumberFormat="1" applyFont="1" applyFill="1" applyBorder="1"/>
    <xf numFmtId="164" fontId="5" fillId="0" borderId="0" xfId="2" applyNumberFormat="1" applyFont="1" applyFill="1" applyBorder="1" applyAlignment="1">
      <alignment horizontal="right"/>
    </xf>
    <xf numFmtId="164" fontId="5" fillId="0" borderId="19" xfId="2" applyNumberFormat="1" applyFont="1" applyFill="1" applyBorder="1" applyAlignment="1">
      <alignment horizontal="center"/>
    </xf>
    <xf numFmtId="49" fontId="6" fillId="0" borderId="18" xfId="2" applyNumberFormat="1" applyFont="1" applyFill="1" applyBorder="1" applyAlignment="1">
      <alignment horizontal="center" vertical="center"/>
    </xf>
    <xf numFmtId="164" fontId="5" fillId="0" borderId="19" xfId="2" applyNumberFormat="1" applyFont="1" applyFill="1" applyBorder="1" applyAlignment="1">
      <alignment horizontal="right" vertical="center"/>
    </xf>
    <xf numFmtId="164" fontId="5" fillId="0" borderId="19" xfId="2" applyNumberFormat="1" applyFont="1" applyFill="1" applyBorder="1" applyAlignment="1">
      <alignment horizontal="right"/>
    </xf>
    <xf numFmtId="49" fontId="6" fillId="0" borderId="20" xfId="2" applyNumberFormat="1" applyFont="1" applyFill="1" applyBorder="1" applyAlignment="1">
      <alignment horizontal="center" vertical="top"/>
    </xf>
    <xf numFmtId="164" fontId="5" fillId="0" borderId="21" xfId="2" applyNumberFormat="1" applyFont="1" applyFill="1" applyBorder="1" applyAlignment="1">
      <alignment horizontal="left" vertical="center"/>
    </xf>
    <xf numFmtId="164" fontId="5" fillId="0" borderId="21" xfId="2" applyNumberFormat="1" applyFont="1" applyFill="1" applyBorder="1" applyAlignment="1">
      <alignment horizontal="left" vertical="center" wrapText="1"/>
    </xf>
    <xf numFmtId="164" fontId="5" fillId="0" borderId="21" xfId="2" applyNumberFormat="1" applyFont="1" applyFill="1" applyBorder="1" applyAlignment="1">
      <alignment horizontal="right" wrapText="1"/>
    </xf>
    <xf numFmtId="164" fontId="5" fillId="0" borderId="21" xfId="2" applyNumberFormat="1" applyFont="1" applyFill="1" applyBorder="1" applyAlignment="1">
      <alignment horizontal="center"/>
    </xf>
    <xf numFmtId="164" fontId="5" fillId="0" borderId="22" xfId="0" applyNumberFormat="1" applyFont="1" applyFill="1" applyBorder="1"/>
    <xf numFmtId="4" fontId="5" fillId="0" borderId="0" xfId="0" applyNumberFormat="1" applyFont="1" applyFill="1"/>
    <xf numFmtId="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Border="1"/>
    <xf numFmtId="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4" fontId="5" fillId="0" borderId="16" xfId="0" applyNumberFormat="1" applyFont="1" applyFill="1" applyBorder="1"/>
    <xf numFmtId="4" fontId="5" fillId="0" borderId="16" xfId="0" applyNumberFormat="1" applyFont="1" applyFill="1" applyBorder="1" applyAlignment="1">
      <alignment horizontal="center"/>
    </xf>
    <xf numFmtId="4" fontId="5" fillId="0" borderId="18" xfId="0" applyNumberFormat="1" applyFont="1" applyFill="1" applyBorder="1"/>
    <xf numFmtId="4" fontId="5" fillId="0" borderId="20" xfId="0" applyNumberFormat="1" applyFont="1" applyFill="1" applyBorder="1"/>
    <xf numFmtId="4" fontId="5" fillId="0" borderId="21" xfId="0" applyNumberFormat="1" applyFont="1" applyFill="1" applyBorder="1"/>
    <xf numFmtId="4" fontId="5" fillId="0" borderId="21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horizontal="center" vertical="center"/>
    </xf>
    <xf numFmtId="4" fontId="4" fillId="0" borderId="19" xfId="5" applyNumberFormat="1" applyFont="1" applyFill="1" applyBorder="1" applyAlignment="1">
      <alignment horizontal="left" vertical="center" wrapText="1"/>
    </xf>
    <xf numFmtId="164" fontId="4" fillId="0" borderId="0" xfId="5" applyNumberFormat="1" applyFont="1" applyFill="1" applyBorder="1" applyAlignment="1">
      <alignment horizontal="right" wrapText="1"/>
    </xf>
    <xf numFmtId="164" fontId="4" fillId="0" borderId="2" xfId="5" applyNumberFormat="1" applyFont="1" applyFill="1" applyBorder="1" applyAlignment="1">
      <alignment horizontal="right" wrapText="1"/>
    </xf>
    <xf numFmtId="164" fontId="5" fillId="0" borderId="16" xfId="0" applyNumberFormat="1" applyFont="1" applyFill="1" applyBorder="1"/>
    <xf numFmtId="164" fontId="5" fillId="0" borderId="21" xfId="0" applyNumberFormat="1" applyFont="1" applyFill="1" applyBorder="1"/>
    <xf numFmtId="4" fontId="5" fillId="0" borderId="17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/>
    <xf numFmtId="166" fontId="5" fillId="0" borderId="0" xfId="0" applyNumberFormat="1" applyFont="1" applyFill="1" applyBorder="1" applyAlignment="1">
      <alignment horizontal="center"/>
    </xf>
    <xf numFmtId="166" fontId="5" fillId="0" borderId="2" xfId="0" applyNumberFormat="1" applyFont="1" applyFill="1" applyBorder="1" applyAlignment="1">
      <alignment horizontal="right"/>
    </xf>
    <xf numFmtId="166" fontId="4" fillId="0" borderId="0" xfId="5" applyNumberFormat="1" applyFont="1" applyFill="1" applyBorder="1" applyAlignment="1">
      <alignment horizontal="right" wrapText="1"/>
    </xf>
    <xf numFmtId="164" fontId="5" fillId="0" borderId="21" xfId="0" applyNumberFormat="1" applyFont="1" applyFill="1" applyBorder="1" applyAlignment="1">
      <alignment horizontal="right"/>
    </xf>
    <xf numFmtId="166" fontId="5" fillId="0" borderId="19" xfId="0" applyNumberFormat="1" applyFont="1" applyFill="1" applyBorder="1" applyAlignment="1">
      <alignment horizontal="center"/>
    </xf>
    <xf numFmtId="166" fontId="5" fillId="0" borderId="19" xfId="0" applyNumberFormat="1" applyFont="1" applyFill="1" applyBorder="1" applyAlignment="1">
      <alignment horizontal="right"/>
    </xf>
    <xf numFmtId="166" fontId="4" fillId="0" borderId="41" xfId="5" applyNumberFormat="1" applyFont="1" applyFill="1" applyBorder="1" applyAlignment="1">
      <alignment horizontal="right" wrapText="1"/>
    </xf>
    <xf numFmtId="164" fontId="5" fillId="0" borderId="2" xfId="0" applyNumberFormat="1" applyFont="1" applyFill="1" applyBorder="1"/>
    <xf numFmtId="3" fontId="5" fillId="0" borderId="0" xfId="0" applyNumberFormat="1" applyFont="1" applyFill="1" applyBorder="1"/>
    <xf numFmtId="167" fontId="5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/>
    <xf numFmtId="167" fontId="5" fillId="0" borderId="2" xfId="0" applyNumberFormat="1" applyFont="1" applyFill="1" applyBorder="1" applyAlignment="1">
      <alignment horizontal="right"/>
    </xf>
    <xf numFmtId="167" fontId="5" fillId="0" borderId="2" xfId="0" applyNumberFormat="1" applyFont="1" applyFill="1" applyBorder="1"/>
    <xf numFmtId="167" fontId="5" fillId="0" borderId="0" xfId="0" applyNumberFormat="1" applyFont="1" applyFill="1" applyBorder="1"/>
    <xf numFmtId="167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/>
    <xf numFmtId="4" fontId="5" fillId="2" borderId="18" xfId="0" applyNumberFormat="1" applyFont="1" applyFill="1" applyBorder="1"/>
    <xf numFmtId="4" fontId="5" fillId="2" borderId="0" xfId="0" applyNumberFormat="1" applyFont="1" applyFill="1" applyBorder="1"/>
    <xf numFmtId="4" fontId="5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/>
    <xf numFmtId="4" fontId="5" fillId="2" borderId="19" xfId="0" applyNumberFormat="1" applyFont="1" applyFill="1" applyBorder="1" applyAlignment="1">
      <alignment horizontal="center"/>
    </xf>
    <xf numFmtId="4" fontId="5" fillId="2" borderId="20" xfId="0" applyNumberFormat="1" applyFont="1" applyFill="1" applyBorder="1"/>
    <xf numFmtId="4" fontId="5" fillId="2" borderId="21" xfId="0" applyNumberFormat="1" applyFont="1" applyFill="1" applyBorder="1"/>
    <xf numFmtId="4" fontId="5" fillId="2" borderId="21" xfId="0" applyNumberFormat="1" applyFont="1" applyFill="1" applyBorder="1" applyAlignment="1">
      <alignment horizontal="center"/>
    </xf>
    <xf numFmtId="164" fontId="5" fillId="2" borderId="21" xfId="0" applyNumberFormat="1" applyFont="1" applyFill="1" applyBorder="1"/>
    <xf numFmtId="4" fontId="5" fillId="2" borderId="22" xfId="0" applyNumberFormat="1" applyFont="1" applyFill="1" applyBorder="1" applyAlignment="1">
      <alignment horizontal="center"/>
    </xf>
    <xf numFmtId="4" fontId="5" fillId="0" borderId="42" xfId="0" applyNumberFormat="1" applyFont="1" applyFill="1" applyBorder="1"/>
    <xf numFmtId="4" fontId="5" fillId="0" borderId="2" xfId="0" applyNumberFormat="1" applyFont="1" applyFill="1" applyBorder="1"/>
    <xf numFmtId="4" fontId="5" fillId="0" borderId="2" xfId="0" applyNumberFormat="1" applyFont="1" applyFill="1" applyBorder="1" applyAlignment="1">
      <alignment horizontal="center"/>
    </xf>
    <xf numFmtId="4" fontId="5" fillId="0" borderId="43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/>
    <xf numFmtId="164" fontId="5" fillId="0" borderId="6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center" vertical="center"/>
    </xf>
    <xf numFmtId="164" fontId="9" fillId="0" borderId="6" xfId="0" applyNumberFormat="1" applyFont="1" applyFill="1" applyBorder="1"/>
    <xf numFmtId="164" fontId="5" fillId="0" borderId="6" xfId="0" applyNumberFormat="1" applyFont="1" applyFill="1" applyBorder="1" applyAlignment="1">
      <alignment horizontal="right"/>
    </xf>
    <xf numFmtId="164" fontId="23" fillId="0" borderId="6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horizontal="center" vertical="center"/>
    </xf>
    <xf numFmtId="164" fontId="23" fillId="0" borderId="6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left"/>
    </xf>
    <xf numFmtId="164" fontId="23" fillId="0" borderId="6" xfId="0" applyNumberFormat="1" applyFont="1" applyBorder="1" applyAlignment="1">
      <alignment horizontal="left"/>
    </xf>
    <xf numFmtId="164" fontId="23" fillId="0" borderId="6" xfId="0" applyNumberFormat="1" applyFont="1" applyBorder="1" applyAlignment="1">
      <alignment horizontal="center"/>
    </xf>
    <xf numFmtId="164" fontId="23" fillId="0" borderId="0" xfId="0" applyNumberFormat="1" applyFont="1" applyBorder="1" applyAlignment="1">
      <alignment horizontal="left"/>
    </xf>
    <xf numFmtId="164" fontId="23" fillId="3" borderId="6" xfId="0" applyNumberFormat="1" applyFont="1" applyFill="1" applyBorder="1" applyAlignment="1">
      <alignment horizontal="left"/>
    </xf>
    <xf numFmtId="164" fontId="23" fillId="0" borderId="0" xfId="0" applyNumberFormat="1" applyFont="1" applyFill="1" applyBorder="1" applyAlignment="1">
      <alignment horizontal="left" vertical="center"/>
    </xf>
    <xf numFmtId="164" fontId="5" fillId="0" borderId="3" xfId="0" applyNumberFormat="1" applyFont="1" applyFill="1" applyBorder="1" applyAlignment="1"/>
    <xf numFmtId="164" fontId="23" fillId="0" borderId="3" xfId="0" applyNumberFormat="1" applyFont="1" applyBorder="1" applyAlignment="1">
      <alignment horizontal="left"/>
    </xf>
    <xf numFmtId="164" fontId="23" fillId="3" borderId="3" xfId="0" applyNumberFormat="1" applyFont="1" applyFill="1" applyBorder="1" applyAlignment="1">
      <alignment horizontal="left"/>
    </xf>
    <xf numFmtId="164" fontId="5" fillId="0" borderId="3" xfId="0" applyNumberFormat="1" applyFont="1" applyFill="1" applyBorder="1" applyAlignment="1">
      <alignment horizontal="right"/>
    </xf>
    <xf numFmtId="164" fontId="23" fillId="0" borderId="6" xfId="0" applyNumberFormat="1" applyFont="1" applyFill="1" applyBorder="1" applyAlignment="1">
      <alignment horizontal="left" vertical="center" wrapText="1"/>
    </xf>
    <xf numFmtId="164" fontId="5" fillId="0" borderId="6" xfId="0" applyNumberFormat="1" applyFont="1" applyFill="1" applyBorder="1" applyAlignment="1">
      <alignment horizontal="left" vertical="center" wrapText="1"/>
    </xf>
    <xf numFmtId="164" fontId="23" fillId="3" borderId="0" xfId="0" applyNumberFormat="1" applyFont="1" applyFill="1" applyBorder="1" applyAlignment="1">
      <alignment horizontal="left"/>
    </xf>
    <xf numFmtId="164" fontId="9" fillId="0" borderId="6" xfId="0" applyNumberFormat="1" applyFont="1" applyFill="1" applyBorder="1" applyAlignment="1">
      <alignment horizontal="center"/>
    </xf>
    <xf numFmtId="164" fontId="22" fillId="0" borderId="6" xfId="0" applyNumberFormat="1" applyFont="1" applyFill="1" applyBorder="1" applyAlignment="1">
      <alignment horizontal="right"/>
    </xf>
    <xf numFmtId="164" fontId="22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left"/>
    </xf>
    <xf numFmtId="164" fontId="5" fillId="0" borderId="3" xfId="0" applyNumberFormat="1" applyFont="1" applyFill="1" applyBorder="1"/>
    <xf numFmtId="164" fontId="5" fillId="0" borderId="0" xfId="0" applyNumberFormat="1" applyFont="1" applyFill="1" applyBorder="1" applyAlignment="1"/>
    <xf numFmtId="164" fontId="5" fillId="0" borderId="0" xfId="2" applyNumberFormat="1" applyFont="1" applyFill="1" applyBorder="1" applyAlignment="1">
      <alignment horizontal="left" vertical="center" wrapText="1"/>
    </xf>
    <xf numFmtId="164" fontId="23" fillId="0" borderId="6" xfId="0" applyNumberFormat="1" applyFont="1" applyBorder="1" applyAlignment="1">
      <alignment horizontal="right"/>
    </xf>
    <xf numFmtId="164" fontId="23" fillId="3" borderId="6" xfId="0" applyNumberFormat="1" applyFont="1" applyFill="1" applyBorder="1" applyAlignment="1">
      <alignment horizontal="right"/>
    </xf>
    <xf numFmtId="164" fontId="23" fillId="0" borderId="6" xfId="0" applyNumberFormat="1" applyFont="1" applyFill="1" applyBorder="1" applyAlignment="1">
      <alignment horizontal="left"/>
    </xf>
    <xf numFmtId="164" fontId="22" fillId="0" borderId="6" xfId="0" applyNumberFormat="1" applyFont="1" applyBorder="1" applyAlignment="1">
      <alignment horizontal="right"/>
    </xf>
    <xf numFmtId="164" fontId="17" fillId="0" borderId="6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 vertical="center" wrapText="1"/>
    </xf>
    <xf numFmtId="4" fontId="10" fillId="0" borderId="6" xfId="5" applyNumberFormat="1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/>
    </xf>
    <xf numFmtId="164" fontId="17" fillId="0" borderId="6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 vertical="center" wrapText="1"/>
    </xf>
    <xf numFmtId="164" fontId="5" fillId="0" borderId="0" xfId="2" applyNumberFormat="1" applyFont="1" applyFill="1" applyBorder="1" applyAlignment="1">
      <alignment horizontal="left" vertical="center" wrapText="1"/>
    </xf>
    <xf numFmtId="4" fontId="4" fillId="0" borderId="18" xfId="5" applyNumberFormat="1" applyFont="1" applyFill="1" applyBorder="1" applyAlignment="1">
      <alignment horizontal="left" vertical="center" wrapText="1"/>
    </xf>
    <xf numFmtId="4" fontId="4" fillId="0" borderId="0" xfId="5" applyNumberFormat="1" applyFont="1" applyFill="1" applyBorder="1" applyAlignment="1">
      <alignment horizontal="left" vertical="center" wrapText="1"/>
    </xf>
    <xf numFmtId="4" fontId="6" fillId="0" borderId="18" xfId="5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2" applyFont="1" applyFill="1" applyBorder="1" applyAlignment="1">
      <alignment horizontal="center" vertical="center" wrapText="1"/>
    </xf>
    <xf numFmtId="4" fontId="4" fillId="0" borderId="0" xfId="5" applyNumberFormat="1" applyFont="1" applyFill="1" applyBorder="1" applyAlignment="1">
      <alignment horizontal="center"/>
    </xf>
    <xf numFmtId="4" fontId="4" fillId="0" borderId="6" xfId="5" applyNumberFormat="1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4" fontId="7" fillId="0" borderId="7" xfId="0" applyNumberFormat="1" applyFont="1" applyFill="1" applyBorder="1" applyAlignment="1">
      <alignment horizontal="right"/>
    </xf>
    <xf numFmtId="4" fontId="8" fillId="0" borderId="10" xfId="2" applyNumberFormat="1" applyFont="1" applyFill="1" applyBorder="1" applyAlignment="1">
      <alignment horizontal="right"/>
    </xf>
    <xf numFmtId="4" fontId="8" fillId="0" borderId="0" xfId="2" applyNumberFormat="1" applyFont="1" applyFill="1" applyBorder="1" applyAlignment="1">
      <alignment horizontal="right"/>
    </xf>
    <xf numFmtId="164" fontId="7" fillId="0" borderId="7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 wrapText="1"/>
    </xf>
    <xf numFmtId="164" fontId="7" fillId="0" borderId="0" xfId="0" applyNumberFormat="1" applyFont="1" applyFill="1" applyBorder="1" applyAlignment="1">
      <alignment horizontal="right" wrapText="1"/>
    </xf>
    <xf numFmtId="4" fontId="7" fillId="0" borderId="5" xfId="0" applyNumberFormat="1" applyFont="1" applyFill="1" applyBorder="1" applyAlignment="1">
      <alignment horizontal="right" wrapText="1"/>
    </xf>
    <xf numFmtId="164" fontId="7" fillId="0" borderId="5" xfId="0" applyNumberFormat="1" applyFont="1" applyFill="1" applyBorder="1" applyAlignment="1">
      <alignment horizontal="right" wrapText="1"/>
    </xf>
    <xf numFmtId="164" fontId="10" fillId="0" borderId="13" xfId="5" applyNumberFormat="1" applyFont="1" applyFill="1" applyBorder="1" applyAlignment="1">
      <alignment horizontal="right" wrapText="1"/>
    </xf>
    <xf numFmtId="164" fontId="14" fillId="0" borderId="6" xfId="0" applyNumberFormat="1" applyFont="1" applyFill="1" applyBorder="1" applyAlignment="1">
      <alignment horizontal="right"/>
    </xf>
    <xf numFmtId="4" fontId="7" fillId="0" borderId="6" xfId="0" applyNumberFormat="1" applyFont="1" applyFill="1" applyBorder="1" applyAlignment="1">
      <alignment horizontal="right" wrapText="1"/>
    </xf>
    <xf numFmtId="164" fontId="10" fillId="0" borderId="6" xfId="5" applyNumberFormat="1" applyFont="1" applyFill="1" applyBorder="1" applyAlignment="1">
      <alignment horizontal="right" wrapText="1"/>
    </xf>
    <xf numFmtId="4" fontId="8" fillId="0" borderId="0" xfId="0" applyNumberFormat="1" applyFont="1" applyFill="1" applyBorder="1" applyAlignment="1">
      <alignment horizontal="center"/>
    </xf>
    <xf numFmtId="4" fontId="6" fillId="0" borderId="0" xfId="5" applyNumberFormat="1" applyFont="1" applyFill="1" applyBorder="1" applyAlignment="1">
      <alignment horizontal="left" vertical="center" wrapText="1"/>
    </xf>
    <xf numFmtId="4" fontId="9" fillId="0" borderId="15" xfId="0" applyNumberFormat="1" applyFont="1" applyFill="1" applyBorder="1"/>
    <xf numFmtId="164" fontId="5" fillId="0" borderId="0" xfId="0" applyNumberFormat="1" applyFont="1" applyBorder="1" applyAlignment="1">
      <alignment horizontal="right" wrapText="1"/>
    </xf>
    <xf numFmtId="0" fontId="5" fillId="0" borderId="19" xfId="0" applyFont="1" applyBorder="1" applyAlignment="1">
      <alignment horizontal="left" vertical="center" wrapText="1"/>
    </xf>
    <xf numFmtId="4" fontId="6" fillId="0" borderId="2" xfId="5" applyNumberFormat="1" applyFont="1" applyFill="1" applyBorder="1" applyAlignment="1">
      <alignment horizontal="left" vertical="center" wrapText="1"/>
    </xf>
    <xf numFmtId="4" fontId="6" fillId="0" borderId="20" xfId="5" applyNumberFormat="1" applyFont="1" applyFill="1" applyBorder="1" applyAlignment="1">
      <alignment horizontal="left" vertical="center" wrapText="1"/>
    </xf>
    <xf numFmtId="4" fontId="6" fillId="0" borderId="21" xfId="5" applyNumberFormat="1" applyFont="1" applyFill="1" applyBorder="1" applyAlignment="1">
      <alignment horizontal="left" vertical="center" wrapText="1"/>
    </xf>
    <xf numFmtId="166" fontId="6" fillId="0" borderId="21" xfId="5" applyNumberFormat="1" applyFont="1" applyFill="1" applyBorder="1" applyAlignment="1">
      <alignment horizontal="left" vertical="center" wrapText="1"/>
    </xf>
    <xf numFmtId="4" fontId="9" fillId="2" borderId="18" xfId="0" applyNumberFormat="1" applyFont="1" applyFill="1" applyBorder="1"/>
    <xf numFmtId="4" fontId="9" fillId="2" borderId="0" xfId="0" applyNumberFormat="1" applyFont="1" applyFill="1" applyBorder="1"/>
    <xf numFmtId="164" fontId="9" fillId="2" borderId="0" xfId="0" applyNumberFormat="1" applyFont="1" applyFill="1" applyBorder="1" applyAlignment="1">
      <alignment horizontal="right"/>
    </xf>
    <xf numFmtId="4" fontId="9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/>
    <xf numFmtId="4" fontId="9" fillId="2" borderId="19" xfId="0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 vertical="center" wrapText="1"/>
    </xf>
    <xf numFmtId="4" fontId="8" fillId="0" borderId="6" xfId="2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0" fontId="13" fillId="0" borderId="6" xfId="0" applyFont="1" applyFill="1" applyBorder="1" applyAlignment="1">
      <alignment horizontal="right" vertical="center" wrapText="1"/>
    </xf>
    <xf numFmtId="4" fontId="10" fillId="0" borderId="6" xfId="5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/>
    </xf>
    <xf numFmtId="164" fontId="7" fillId="0" borderId="6" xfId="0" applyNumberFormat="1" applyFont="1" applyFill="1" applyBorder="1" applyAlignment="1">
      <alignment horizontal="left"/>
    </xf>
    <xf numFmtId="0" fontId="14" fillId="0" borderId="6" xfId="0" applyFont="1" applyFill="1" applyBorder="1" applyAlignment="1">
      <alignment horizontal="left"/>
    </xf>
    <xf numFmtId="4" fontId="8" fillId="0" borderId="6" xfId="4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6" xfId="4" applyNumberFormat="1" applyFont="1" applyFill="1" applyBorder="1" applyAlignment="1">
      <alignment horizontal="center" vertical="center" wrapText="1"/>
    </xf>
    <xf numFmtId="164" fontId="26" fillId="0" borderId="0" xfId="0" applyNumberFormat="1" applyFont="1" applyFill="1"/>
    <xf numFmtId="164" fontId="26" fillId="0" borderId="0" xfId="0" applyNumberFormat="1" applyFont="1" applyFill="1" applyAlignment="1">
      <alignment horizontal="center" vertical="center"/>
    </xf>
    <xf numFmtId="164" fontId="26" fillId="0" borderId="0" xfId="2" applyNumberFormat="1" applyFont="1" applyFill="1" applyBorder="1" applyAlignment="1">
      <alignment horizontal="left" vertical="center" wrapText="1"/>
    </xf>
    <xf numFmtId="164" fontId="26" fillId="0" borderId="0" xfId="2" applyNumberFormat="1" applyFont="1" applyFill="1" applyBorder="1" applyAlignment="1">
      <alignment horizontal="right" wrapText="1"/>
    </xf>
    <xf numFmtId="164" fontId="26" fillId="0" borderId="0" xfId="2" applyNumberFormat="1" applyFont="1" applyFill="1" applyBorder="1" applyAlignment="1">
      <alignment horizontal="center"/>
    </xf>
    <xf numFmtId="4" fontId="28" fillId="0" borderId="6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left"/>
    </xf>
    <xf numFmtId="4" fontId="10" fillId="0" borderId="6" xfId="5" applyNumberFormat="1" applyFont="1" applyFill="1" applyBorder="1" applyAlignment="1">
      <alignment horizontal="left" wrapText="1"/>
    </xf>
    <xf numFmtId="4" fontId="10" fillId="0" borderId="6" xfId="5" applyNumberFormat="1" applyFont="1" applyFill="1" applyBorder="1" applyAlignment="1">
      <alignment horizontal="left"/>
    </xf>
    <xf numFmtId="0" fontId="7" fillId="0" borderId="13" xfId="2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7" fillId="0" borderId="25" xfId="0" applyFont="1" applyFill="1" applyBorder="1" applyAlignment="1">
      <alignment horizontal="center" vertical="center" wrapText="1"/>
    </xf>
    <xf numFmtId="4" fontId="7" fillId="0" borderId="0" xfId="0" applyNumberFormat="1" applyFont="1" applyFill="1"/>
    <xf numFmtId="4" fontId="8" fillId="0" borderId="12" xfId="5" applyNumberFormat="1" applyFont="1" applyFill="1" applyBorder="1" applyAlignment="1">
      <alignment horizontal="right" wrapText="1"/>
    </xf>
    <xf numFmtId="4" fontId="7" fillId="0" borderId="12" xfId="0" applyNumberFormat="1" applyFont="1" applyFill="1" applyBorder="1" applyAlignment="1">
      <alignment horizontal="right"/>
    </xf>
    <xf numFmtId="4" fontId="31" fillId="0" borderId="6" xfId="5" applyNumberFormat="1" applyFont="1" applyFill="1" applyBorder="1" applyAlignment="1">
      <alignment horizontal="left" vertical="center"/>
    </xf>
    <xf numFmtId="4" fontId="8" fillId="0" borderId="6" xfId="5" applyNumberFormat="1" applyFont="1" applyFill="1" applyBorder="1" applyAlignment="1">
      <alignment horizontal="center" vertical="center"/>
    </xf>
    <xf numFmtId="4" fontId="10" fillId="0" borderId="6" xfId="5" applyNumberFormat="1" applyFont="1" applyFill="1" applyBorder="1" applyAlignment="1">
      <alignment horizontal="center"/>
    </xf>
    <xf numFmtId="4" fontId="10" fillId="0" borderId="6" xfId="5" applyNumberFormat="1" applyFont="1" applyFill="1" applyBorder="1" applyAlignment="1">
      <alignment horizontal="right"/>
    </xf>
    <xf numFmtId="4" fontId="7" fillId="0" borderId="6" xfId="0" applyNumberFormat="1" applyFont="1" applyFill="1" applyBorder="1" applyAlignment="1">
      <alignment horizontal="left"/>
    </xf>
    <xf numFmtId="4" fontId="7" fillId="0" borderId="6" xfId="0" applyNumberFormat="1" applyFont="1" applyFill="1" applyBorder="1" applyAlignment="1">
      <alignment horizontal="left" vertical="center" wrapText="1"/>
    </xf>
    <xf numFmtId="4" fontId="7" fillId="0" borderId="6" xfId="0" applyNumberFormat="1" applyFont="1" applyFill="1" applyBorder="1"/>
    <xf numFmtId="4" fontId="10" fillId="0" borderId="6" xfId="5" applyNumberFormat="1" applyFont="1" applyFill="1" applyBorder="1" applyAlignment="1">
      <alignment horizontal="right" wrapText="1"/>
    </xf>
    <xf numFmtId="0" fontId="7" fillId="0" borderId="13" xfId="0" applyFont="1" applyFill="1" applyBorder="1" applyAlignment="1">
      <alignment horizontal="left" vertical="center" wrapText="1"/>
    </xf>
    <xf numFmtId="0" fontId="32" fillId="0" borderId="0" xfId="0" applyFont="1" applyFill="1"/>
    <xf numFmtId="0" fontId="7" fillId="0" borderId="13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164" fontId="7" fillId="0" borderId="13" xfId="0" applyNumberFormat="1" applyFont="1" applyFill="1" applyBorder="1" applyAlignment="1">
      <alignment horizontal="left"/>
    </xf>
    <xf numFmtId="4" fontId="8" fillId="0" borderId="12" xfId="5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left"/>
    </xf>
    <xf numFmtId="0" fontId="14" fillId="0" borderId="23" xfId="0" applyFont="1" applyFill="1" applyBorder="1" applyAlignment="1">
      <alignment horizontal="left"/>
    </xf>
    <xf numFmtId="164" fontId="7" fillId="0" borderId="23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 vertical="center"/>
    </xf>
    <xf numFmtId="164" fontId="21" fillId="0" borderId="13" xfId="0" applyNumberFormat="1" applyFont="1" applyFill="1" applyBorder="1" applyAlignment="1">
      <alignment horizontal="left" vertical="center"/>
    </xf>
    <xf numFmtId="4" fontId="7" fillId="0" borderId="12" xfId="0" applyNumberFormat="1" applyFont="1" applyFill="1" applyBorder="1" applyAlignment="1">
      <alignment horizontal="left"/>
    </xf>
    <xf numFmtId="4" fontId="7" fillId="0" borderId="12" xfId="0" applyNumberFormat="1" applyFont="1" applyFill="1" applyBorder="1"/>
    <xf numFmtId="0" fontId="7" fillId="0" borderId="12" xfId="0" applyFont="1" applyFill="1" applyBorder="1" applyAlignment="1">
      <alignment horizontal="center" vertical="center"/>
    </xf>
    <xf numFmtId="4" fontId="8" fillId="0" borderId="13" xfId="5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49" fontId="10" fillId="0" borderId="13" xfId="5" applyNumberFormat="1" applyFont="1" applyFill="1" applyBorder="1" applyAlignment="1">
      <alignment horizontal="center" vertical="center" wrapText="1"/>
    </xf>
    <xf numFmtId="4" fontId="32" fillId="0" borderId="6" xfId="0" applyNumberFormat="1" applyFont="1" applyFill="1" applyBorder="1" applyAlignment="1">
      <alignment horizontal="right"/>
    </xf>
    <xf numFmtId="4" fontId="8" fillId="0" borderId="6" xfId="5" applyNumberFormat="1" applyFont="1" applyFill="1" applyBorder="1" applyAlignment="1">
      <alignment horizontal="left" wrapText="1"/>
    </xf>
    <xf numFmtId="4" fontId="10" fillId="0" borderId="6" xfId="5" applyNumberFormat="1" applyFont="1" applyFill="1" applyBorder="1" applyAlignment="1">
      <alignment horizontal="center" wrapText="1"/>
    </xf>
    <xf numFmtId="4" fontId="14" fillId="0" borderId="6" xfId="0" applyNumberFormat="1" applyFont="1" applyFill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right" vertical="center" wrapText="1"/>
    </xf>
    <xf numFmtId="4" fontId="7" fillId="0" borderId="6" xfId="0" applyNumberFormat="1" applyFont="1" applyFill="1" applyBorder="1" applyAlignment="1">
      <alignment horizontal="center" vertical="center"/>
    </xf>
    <xf numFmtId="4" fontId="8" fillId="0" borderId="6" xfId="0" applyNumberFormat="1" applyFont="1" applyFill="1" applyBorder="1"/>
    <xf numFmtId="4" fontId="14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49" fontId="10" fillId="0" borderId="13" xfId="5" applyNumberFormat="1" applyFont="1" applyFill="1" applyBorder="1" applyAlignment="1">
      <alignment horizontal="center" vertical="center" wrapText="1"/>
    </xf>
    <xf numFmtId="4" fontId="10" fillId="0" borderId="12" xfId="5" applyNumberFormat="1" applyFont="1" applyFill="1" applyBorder="1" applyAlignment="1">
      <alignment horizontal="center" vertical="center" wrapText="1"/>
    </xf>
    <xf numFmtId="4" fontId="10" fillId="0" borderId="13" xfId="5" applyNumberFormat="1" applyFont="1" applyFill="1" applyBorder="1" applyAlignment="1">
      <alignment horizontal="center" vertical="center" wrapText="1"/>
    </xf>
    <xf numFmtId="4" fontId="8" fillId="0" borderId="12" xfId="5" applyNumberFormat="1" applyFont="1" applyFill="1" applyBorder="1" applyAlignment="1">
      <alignment horizontal="center" wrapText="1"/>
    </xf>
    <xf numFmtId="4" fontId="8" fillId="0" borderId="13" xfId="5" applyNumberFormat="1" applyFont="1" applyFill="1" applyBorder="1" applyAlignment="1">
      <alignment horizontal="center" wrapText="1"/>
    </xf>
    <xf numFmtId="4" fontId="8" fillId="0" borderId="12" xfId="5" applyNumberFormat="1" applyFont="1" applyFill="1" applyBorder="1" applyAlignment="1">
      <alignment horizontal="center" wrapText="1"/>
    </xf>
    <xf numFmtId="4" fontId="17" fillId="0" borderId="0" xfId="4" applyNumberFormat="1" applyFont="1" applyFill="1"/>
    <xf numFmtId="49" fontId="17" fillId="0" borderId="6" xfId="5" applyNumberFormat="1" applyFont="1" applyFill="1" applyBorder="1" applyAlignment="1">
      <alignment horizontal="center" vertical="center" wrapText="1"/>
    </xf>
    <xf numFmtId="4" fontId="17" fillId="0" borderId="6" xfId="5" applyNumberFormat="1" applyFont="1" applyFill="1" applyBorder="1" applyAlignment="1">
      <alignment horizontal="right" vertical="center" wrapText="1"/>
    </xf>
    <xf numFmtId="4" fontId="17" fillId="0" borderId="6" xfId="5" applyNumberFormat="1" applyFont="1" applyFill="1" applyBorder="1" applyAlignment="1">
      <alignment horizontal="center" wrapText="1"/>
    </xf>
    <xf numFmtId="4" fontId="17" fillId="0" borderId="6" xfId="5" applyNumberFormat="1" applyFont="1" applyFill="1" applyBorder="1" applyAlignment="1">
      <alignment horizontal="right" wrapText="1"/>
    </xf>
    <xf numFmtId="4" fontId="18" fillId="0" borderId="6" xfId="0" applyNumberFormat="1" applyFont="1" applyFill="1" applyBorder="1" applyAlignment="1">
      <alignment horizontal="right" wrapText="1"/>
    </xf>
    <xf numFmtId="164" fontId="17" fillId="0" borderId="13" xfId="5" applyNumberFormat="1" applyFont="1" applyFill="1" applyBorder="1" applyAlignment="1">
      <alignment horizontal="right" wrapText="1"/>
    </xf>
    <xf numFmtId="4" fontId="18" fillId="0" borderId="0" xfId="0" applyNumberFormat="1" applyFont="1" applyFill="1" applyBorder="1" applyAlignment="1">
      <alignment horizontal="right"/>
    </xf>
    <xf numFmtId="0" fontId="18" fillId="0" borderId="0" xfId="0" applyFont="1" applyFill="1"/>
    <xf numFmtId="4" fontId="8" fillId="0" borderId="13" xfId="5" applyNumberFormat="1" applyFont="1" applyFill="1" applyBorder="1" applyAlignment="1">
      <alignment horizontal="center"/>
    </xf>
    <xf numFmtId="4" fontId="8" fillId="0" borderId="6" xfId="5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left" vertical="center" wrapText="1"/>
    </xf>
    <xf numFmtId="4" fontId="8" fillId="0" borderId="23" xfId="5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4" fontId="8" fillId="0" borderId="23" xfId="5" applyNumberFormat="1" applyFont="1" applyFill="1" applyBorder="1" applyAlignment="1">
      <alignment horizontal="right" wrapText="1"/>
    </xf>
    <xf numFmtId="4" fontId="7" fillId="0" borderId="23" xfId="0" applyNumberFormat="1" applyFont="1" applyFill="1" applyBorder="1" applyAlignment="1">
      <alignment horizontal="right" wrapText="1"/>
    </xf>
    <xf numFmtId="0" fontId="7" fillId="0" borderId="13" xfId="0" applyFont="1" applyFill="1" applyBorder="1"/>
    <xf numFmtId="4" fontId="7" fillId="0" borderId="12" xfId="0" applyNumberFormat="1" applyFont="1" applyFill="1" applyBorder="1" applyAlignment="1">
      <alignment horizontal="right" wrapText="1"/>
    </xf>
    <xf numFmtId="4" fontId="7" fillId="0" borderId="6" xfId="0" quotePrefix="1" applyNumberFormat="1" applyFont="1" applyFill="1" applyBorder="1" applyAlignment="1">
      <alignment horizontal="right"/>
    </xf>
    <xf numFmtId="4" fontId="8" fillId="0" borderId="6" xfId="0" applyNumberFormat="1" applyFont="1" applyFill="1" applyBorder="1" applyAlignment="1">
      <alignment horizontal="left" vertical="center" wrapText="1"/>
    </xf>
    <xf numFmtId="4" fontId="8" fillId="0" borderId="6" xfId="0" applyNumberFormat="1" applyFont="1" applyFill="1" applyBorder="1" applyAlignment="1">
      <alignment horizontal="center"/>
    </xf>
    <xf numFmtId="4" fontId="8" fillId="0" borderId="6" xfId="5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164" fontId="8" fillId="0" borderId="12" xfId="0" applyNumberFormat="1" applyFont="1" applyFill="1" applyBorder="1" applyAlignment="1"/>
    <xf numFmtId="4" fontId="8" fillId="0" borderId="6" xfId="5" applyNumberFormat="1" applyFont="1" applyFill="1" applyBorder="1" applyAlignment="1"/>
    <xf numFmtId="4" fontId="7" fillId="0" borderId="6" xfId="0" applyNumberFormat="1" applyFont="1" applyFill="1" applyBorder="1" applyAlignment="1"/>
    <xf numFmtId="4" fontId="8" fillId="0" borderId="6" xfId="5" applyNumberFormat="1" applyFont="1" applyFill="1" applyBorder="1" applyAlignment="1">
      <alignment wrapText="1"/>
    </xf>
    <xf numFmtId="4" fontId="8" fillId="0" borderId="13" xfId="5" applyNumberFormat="1" applyFont="1" applyFill="1" applyBorder="1" applyAlignment="1">
      <alignment wrapText="1"/>
    </xf>
    <xf numFmtId="0" fontId="21" fillId="0" borderId="6" xfId="0" applyFont="1" applyFill="1" applyBorder="1" applyAlignment="1">
      <alignment horizontal="center" vertical="center" wrapText="1"/>
    </xf>
    <xf numFmtId="4" fontId="21" fillId="0" borderId="6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6" fillId="0" borderId="16" xfId="5" applyNumberFormat="1" applyFont="1" applyFill="1" applyBorder="1" applyAlignment="1">
      <alignment horizontal="left" vertical="center" wrapText="1"/>
    </xf>
    <xf numFmtId="0" fontId="5" fillId="0" borderId="8" xfId="0" applyFont="1" applyBorder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0" fontId="5" fillId="0" borderId="3" xfId="0" applyNumberFormat="1" applyFont="1" applyBorder="1" applyAlignment="1">
      <alignment horizontal="center" vertical="center"/>
    </xf>
    <xf numFmtId="43" fontId="5" fillId="0" borderId="3" xfId="0" applyNumberFormat="1" applyFont="1" applyBorder="1" applyAlignment="1">
      <alignment horizontal="center" vertical="center"/>
    </xf>
    <xf numFmtId="43" fontId="26" fillId="0" borderId="6" xfId="0" applyNumberFormat="1" applyFont="1" applyBorder="1" applyAlignment="1">
      <alignment horizontal="center" vertical="center"/>
    </xf>
    <xf numFmtId="10" fontId="25" fillId="0" borderId="6" xfId="0" applyNumberFormat="1" applyFont="1" applyBorder="1" applyAlignment="1">
      <alignment horizontal="center" vertical="center"/>
    </xf>
    <xf numFmtId="4" fontId="4" fillId="0" borderId="16" xfId="5" applyNumberFormat="1" applyFont="1" applyFill="1" applyBorder="1" applyAlignment="1">
      <alignment horizontal="left" vertical="center" wrapText="1"/>
    </xf>
    <xf numFmtId="10" fontId="5" fillId="0" borderId="12" xfId="0" applyNumberFormat="1" applyFont="1" applyBorder="1" applyAlignment="1">
      <alignment horizontal="right" vertical="center" wrapText="1"/>
    </xf>
    <xf numFmtId="164" fontId="8" fillId="0" borderId="6" xfId="5" applyNumberFormat="1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37" xfId="2" applyFont="1" applyFill="1" applyBorder="1" applyAlignment="1">
      <alignment horizontal="center" vertical="center" wrapText="1"/>
    </xf>
    <xf numFmtId="164" fontId="13" fillId="0" borderId="6" xfId="0" applyNumberFormat="1" applyFont="1" applyFill="1" applyBorder="1" applyAlignment="1">
      <alignment horizontal="right" vertical="center" wrapText="1"/>
    </xf>
    <xf numFmtId="0" fontId="13" fillId="0" borderId="6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right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 vertical="center" wrapText="1"/>
    </xf>
    <xf numFmtId="4" fontId="18" fillId="0" borderId="28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/>
    <xf numFmtId="0" fontId="19" fillId="0" borderId="6" xfId="0" applyFont="1" applyFill="1" applyBorder="1" applyAlignment="1">
      <alignment horizontal="left" vertical="center" wrapText="1"/>
    </xf>
    <xf numFmtId="4" fontId="21" fillId="0" borderId="34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4" fontId="21" fillId="0" borderId="36" xfId="0" applyNumberFormat="1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4" fontId="7" fillId="0" borderId="28" xfId="0" applyNumberFormat="1" applyFont="1" applyFill="1" applyBorder="1" applyAlignment="1">
      <alignment horizontal="center" vertical="center" wrapText="1"/>
    </xf>
    <xf numFmtId="4" fontId="7" fillId="0" borderId="36" xfId="0" applyNumberFormat="1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vertical="center"/>
    </xf>
    <xf numFmtId="164" fontId="7" fillId="0" borderId="6" xfId="0" applyNumberFormat="1" applyFont="1" applyFill="1" applyBorder="1" applyAlignment="1">
      <alignment horizontal="right" wrapText="1"/>
    </xf>
    <xf numFmtId="0" fontId="7" fillId="0" borderId="24" xfId="0" applyFont="1" applyFill="1" applyBorder="1"/>
    <xf numFmtId="0" fontId="7" fillId="0" borderId="25" xfId="0" applyFont="1" applyFill="1" applyBorder="1"/>
    <xf numFmtId="0" fontId="7" fillId="0" borderId="26" xfId="0" applyFont="1" applyFill="1" applyBorder="1"/>
    <xf numFmtId="0" fontId="7" fillId="0" borderId="35" xfId="0" applyFont="1" applyFill="1" applyBorder="1"/>
    <xf numFmtId="0" fontId="7" fillId="0" borderId="36" xfId="0" applyFont="1" applyFill="1" applyBorder="1"/>
    <xf numFmtId="0" fontId="7" fillId="0" borderId="36" xfId="0" applyFont="1" applyFill="1" applyBorder="1" applyAlignment="1">
      <alignment horizontal="left" vertical="center" wrapText="1"/>
    </xf>
    <xf numFmtId="0" fontId="14" fillId="0" borderId="36" xfId="0" applyFont="1" applyFill="1" applyBorder="1" applyAlignment="1">
      <alignment horizontal="righ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164" fontId="7" fillId="0" borderId="25" xfId="0" applyNumberFormat="1" applyFont="1" applyFill="1" applyBorder="1" applyAlignment="1">
      <alignment horizontal="left"/>
    </xf>
    <xf numFmtId="164" fontId="7" fillId="0" borderId="26" xfId="0" applyNumberFormat="1" applyFont="1" applyFill="1" applyBorder="1" applyAlignment="1">
      <alignment horizontal="left"/>
    </xf>
    <xf numFmtId="0" fontId="7" fillId="0" borderId="35" xfId="0" applyFont="1" applyFill="1" applyBorder="1" applyAlignment="1">
      <alignment horizontal="left"/>
    </xf>
    <xf numFmtId="164" fontId="7" fillId="0" borderId="36" xfId="0" applyNumberFormat="1" applyFont="1" applyFill="1" applyBorder="1" applyAlignment="1">
      <alignment horizontal="left"/>
    </xf>
    <xf numFmtId="0" fontId="7" fillId="0" borderId="35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left"/>
    </xf>
    <xf numFmtId="164" fontId="7" fillId="0" borderId="44" xfId="0" applyNumberFormat="1" applyFont="1" applyFill="1" applyBorder="1" applyAlignment="1">
      <alignment horizontal="left"/>
    </xf>
    <xf numFmtId="0" fontId="7" fillId="0" borderId="37" xfId="0" applyFont="1" applyFill="1" applyBorder="1" applyAlignment="1">
      <alignment horizontal="left"/>
    </xf>
    <xf numFmtId="164" fontId="21" fillId="0" borderId="38" xfId="0" applyNumberFormat="1" applyFont="1" applyFill="1" applyBorder="1" applyAlignment="1">
      <alignment horizontal="left" vertical="center"/>
    </xf>
    <xf numFmtId="164" fontId="21" fillId="0" borderId="39" xfId="0" applyNumberFormat="1" applyFont="1" applyFill="1" applyBorder="1" applyAlignment="1">
      <alignment horizontal="left" vertical="center"/>
    </xf>
    <xf numFmtId="164" fontId="7" fillId="0" borderId="6" xfId="0" applyNumberFormat="1" applyFont="1" applyFill="1" applyBorder="1"/>
    <xf numFmtId="10" fontId="5" fillId="0" borderId="13" xfId="0" applyNumberFormat="1" applyFont="1" applyBorder="1" applyAlignment="1"/>
    <xf numFmtId="10" fontId="5" fillId="0" borderId="12" xfId="0" applyNumberFormat="1" applyFont="1" applyBorder="1"/>
    <xf numFmtId="10" fontId="5" fillId="0" borderId="23" xfId="0" applyNumberFormat="1" applyFont="1" applyBorder="1" applyAlignment="1"/>
    <xf numFmtId="10" fontId="5" fillId="0" borderId="12" xfId="0" applyNumberFormat="1" applyFont="1" applyBorder="1" applyAlignment="1"/>
    <xf numFmtId="10" fontId="5" fillId="0" borderId="23" xfId="0" applyNumberFormat="1" applyFont="1" applyBorder="1"/>
    <xf numFmtId="4" fontId="5" fillId="0" borderId="13" xfId="0" applyNumberFormat="1" applyFont="1" applyFill="1" applyBorder="1" applyAlignment="1">
      <alignment horizontal="right" wrapText="1"/>
    </xf>
    <xf numFmtId="4" fontId="5" fillId="0" borderId="12" xfId="0" applyNumberFormat="1" applyFont="1" applyBorder="1"/>
    <xf numFmtId="4" fontId="5" fillId="0" borderId="13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5" fillId="0" borderId="13" xfId="0" applyNumberFormat="1" applyFont="1" applyBorder="1" applyAlignment="1"/>
    <xf numFmtId="4" fontId="5" fillId="0" borderId="12" xfId="0" applyNumberFormat="1" applyFont="1" applyBorder="1" applyAlignment="1">
      <alignment horizontal="right" vertical="center"/>
    </xf>
    <xf numFmtId="4" fontId="5" fillId="0" borderId="23" xfId="0" applyNumberFormat="1" applyFont="1" applyBorder="1" applyAlignment="1">
      <alignment horizontal="right" vertical="center"/>
    </xf>
    <xf numFmtId="4" fontId="5" fillId="0" borderId="23" xfId="0" applyNumberFormat="1" applyFont="1" applyBorder="1" applyAlignment="1"/>
    <xf numFmtId="4" fontId="25" fillId="0" borderId="6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/>
    <xf numFmtId="4" fontId="5" fillId="0" borderId="23" xfId="0" applyNumberFormat="1" applyFont="1" applyBorder="1"/>
    <xf numFmtId="0" fontId="18" fillId="0" borderId="0" xfId="0" applyFont="1" applyFill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4" fontId="18" fillId="0" borderId="3" xfId="0" applyNumberFormat="1" applyFont="1" applyFill="1" applyBorder="1" applyAlignment="1">
      <alignment horizontal="center" vertical="center"/>
    </xf>
    <xf numFmtId="49" fontId="17" fillId="0" borderId="0" xfId="4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49" fontId="22" fillId="0" borderId="6" xfId="5" applyNumberFormat="1" applyFont="1" applyFill="1" applyBorder="1" applyAlignment="1">
      <alignment horizontal="center" vertical="center"/>
    </xf>
    <xf numFmtId="49" fontId="22" fillId="0" borderId="13" xfId="5" applyNumberFormat="1" applyFont="1" applyFill="1" applyBorder="1" applyAlignment="1">
      <alignment horizontal="center" vertical="center" wrapText="1"/>
    </xf>
    <xf numFmtId="49" fontId="22" fillId="0" borderId="6" xfId="5" applyNumberFormat="1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/>
    </xf>
    <xf numFmtId="49" fontId="22" fillId="0" borderId="12" xfId="5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left" vertical="center" wrapText="1"/>
    </xf>
    <xf numFmtId="0" fontId="7" fillId="0" borderId="6" xfId="0" applyFont="1" applyBorder="1"/>
    <xf numFmtId="164" fontId="7" fillId="0" borderId="6" xfId="0" applyNumberFormat="1" applyFont="1" applyFill="1" applyBorder="1" applyAlignment="1">
      <alignment horizontal="right"/>
    </xf>
    <xf numFmtId="164" fontId="5" fillId="0" borderId="2" xfId="2" applyNumberFormat="1" applyFont="1" applyFill="1" applyBorder="1" applyAlignment="1">
      <alignment horizontal="left" vertical="center" wrapText="1"/>
    </xf>
    <xf numFmtId="49" fontId="8" fillId="0" borderId="6" xfId="2" applyNumberFormat="1" applyFont="1" applyFill="1" applyBorder="1" applyAlignment="1">
      <alignment horizontal="center"/>
    </xf>
    <xf numFmtId="164" fontId="14" fillId="0" borderId="6" xfId="0" applyNumberFormat="1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7" fillId="4" borderId="0" xfId="0" applyFont="1" applyFill="1"/>
    <xf numFmtId="49" fontId="4" fillId="0" borderId="0" xfId="5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/>
    <xf numFmtId="4" fontId="4" fillId="0" borderId="0" xfId="5" applyNumberFormat="1" applyFont="1" applyFill="1" applyBorder="1" applyAlignment="1">
      <alignment horizontal="center" vertical="center"/>
    </xf>
    <xf numFmtId="164" fontId="4" fillId="0" borderId="0" xfId="5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4" fontId="32" fillId="0" borderId="0" xfId="4" applyNumberFormat="1" applyFont="1" applyFill="1"/>
    <xf numFmtId="0" fontId="7" fillId="0" borderId="27" xfId="0" applyFont="1" applyFill="1" applyBorder="1"/>
    <xf numFmtId="0" fontId="7" fillId="0" borderId="28" xfId="0" applyFont="1" applyFill="1" applyBorder="1"/>
    <xf numFmtId="0" fontId="7" fillId="0" borderId="6" xfId="0" applyFont="1" applyFill="1" applyBorder="1" applyAlignment="1">
      <alignment wrapText="1"/>
    </xf>
    <xf numFmtId="4" fontId="8" fillId="0" borderId="0" xfId="4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27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0" fontId="7" fillId="0" borderId="6" xfId="0" applyFont="1" applyFill="1" applyBorder="1" applyAlignment="1">
      <alignment horizontal="left" wrapText="1"/>
    </xf>
    <xf numFmtId="0" fontId="7" fillId="0" borderId="27" xfId="0" applyFont="1" applyFill="1" applyBorder="1" applyAlignment="1">
      <alignment horizontal="left"/>
    </xf>
    <xf numFmtId="164" fontId="7" fillId="0" borderId="28" xfId="0" applyNumberFormat="1" applyFont="1" applyFill="1" applyBorder="1" applyAlignment="1">
      <alignment horizontal="left"/>
    </xf>
    <xf numFmtId="164" fontId="7" fillId="0" borderId="6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49" fontId="17" fillId="0" borderId="13" xfId="5" applyNumberFormat="1" applyFont="1" applyFill="1" applyBorder="1" applyAlignment="1">
      <alignment horizontal="center" vertical="center" wrapText="1"/>
    </xf>
    <xf numFmtId="49" fontId="10" fillId="0" borderId="13" xfId="5" applyNumberFormat="1" applyFont="1" applyFill="1" applyBorder="1" applyAlignment="1">
      <alignment horizontal="center" vertical="center" wrapText="1"/>
    </xf>
    <xf numFmtId="4" fontId="10" fillId="0" borderId="12" xfId="5" applyNumberFormat="1" applyFont="1" applyFill="1" applyBorder="1" applyAlignment="1">
      <alignment horizontal="center" vertical="center" wrapText="1"/>
    </xf>
    <xf numFmtId="4" fontId="10" fillId="0" borderId="13" xfId="5" applyNumberFormat="1" applyFont="1" applyFill="1" applyBorder="1" applyAlignment="1">
      <alignment horizontal="center" vertical="center" wrapText="1"/>
    </xf>
    <xf numFmtId="49" fontId="18" fillId="0" borderId="13" xfId="5" applyNumberFormat="1" applyFont="1" applyFill="1" applyBorder="1" applyAlignment="1">
      <alignment horizontal="center" vertical="center" wrapText="1"/>
    </xf>
    <xf numFmtId="49" fontId="7" fillId="0" borderId="13" xfId="5" applyNumberFormat="1" applyFont="1" applyFill="1" applyBorder="1" applyAlignment="1">
      <alignment horizontal="center" vertical="center" wrapText="1"/>
    </xf>
    <xf numFmtId="4" fontId="7" fillId="0" borderId="13" xfId="5" applyNumberFormat="1" applyFont="1" applyFill="1" applyBorder="1" applyAlignment="1">
      <alignment horizontal="left" vertical="center" wrapText="1"/>
    </xf>
    <xf numFmtId="4" fontId="7" fillId="0" borderId="13" xfId="5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14" fillId="0" borderId="1" xfId="3" applyNumberFormat="1" applyFont="1" applyFill="1" applyBorder="1" applyAlignment="1">
      <alignment horizontal="left" vertical="center" wrapText="1"/>
    </xf>
    <xf numFmtId="4" fontId="14" fillId="0" borderId="2" xfId="0" applyNumberFormat="1" applyFont="1" applyFill="1" applyBorder="1"/>
    <xf numFmtId="164" fontId="7" fillId="0" borderId="6" xfId="2" applyNumberFormat="1" applyFont="1" applyFill="1" applyBorder="1" applyAlignment="1">
      <alignment horizontal="center" vertical="center"/>
    </xf>
    <xf numFmtId="49" fontId="14" fillId="0" borderId="3" xfId="2" applyNumberFormat="1" applyFont="1" applyFill="1" applyBorder="1" applyAlignment="1">
      <alignment horizontal="left" vertical="center" wrapText="1" readingOrder="1"/>
    </xf>
    <xf numFmtId="4" fontId="14" fillId="0" borderId="0" xfId="0" applyNumberFormat="1" applyFont="1" applyFill="1" applyBorder="1"/>
    <xf numFmtId="49" fontId="7" fillId="0" borderId="6" xfId="2" applyNumberFormat="1" applyFont="1" applyFill="1" applyBorder="1" applyAlignment="1">
      <alignment horizontal="center" vertical="center"/>
    </xf>
    <xf numFmtId="49" fontId="18" fillId="0" borderId="6" xfId="5" applyNumberFormat="1" applyFont="1" applyFill="1" applyBorder="1" applyAlignment="1">
      <alignment horizontal="center" vertical="center"/>
    </xf>
    <xf numFmtId="49" fontId="7" fillId="0" borderId="6" xfId="5" applyNumberFormat="1" applyFont="1" applyFill="1" applyBorder="1" applyAlignment="1">
      <alignment horizontal="center" vertical="center" wrapText="1"/>
    </xf>
    <xf numFmtId="4" fontId="14" fillId="0" borderId="6" xfId="5" applyNumberFormat="1" applyFont="1" applyFill="1" applyBorder="1" applyAlignment="1">
      <alignment horizontal="center" vertical="center"/>
    </xf>
    <xf numFmtId="164" fontId="14" fillId="0" borderId="6" xfId="5" applyNumberFormat="1" applyFont="1" applyFill="1" applyBorder="1" applyAlignment="1">
      <alignment horizontal="center" vertical="center"/>
    </xf>
    <xf numFmtId="49" fontId="18" fillId="0" borderId="13" xfId="5" applyNumberFormat="1" applyFont="1" applyFill="1" applyBorder="1" applyAlignment="1">
      <alignment horizontal="center" vertical="center"/>
    </xf>
    <xf numFmtId="4" fontId="14" fillId="0" borderId="6" xfId="5" applyNumberFormat="1" applyFont="1" applyFill="1" applyBorder="1" applyAlignment="1">
      <alignment horizontal="left" vertical="center"/>
    </xf>
    <xf numFmtId="4" fontId="14" fillId="0" borderId="13" xfId="5" applyNumberFormat="1" applyFont="1" applyFill="1" applyBorder="1" applyAlignment="1">
      <alignment horizontal="center" vertical="center"/>
    </xf>
    <xf numFmtId="164" fontId="14" fillId="0" borderId="13" xfId="5" applyNumberFormat="1" applyFont="1" applyFill="1" applyBorder="1" applyAlignment="1">
      <alignment horizontal="center" vertical="center"/>
    </xf>
    <xf numFmtId="4" fontId="7" fillId="0" borderId="6" xfId="5" applyNumberFormat="1" applyFont="1" applyFill="1" applyBorder="1" applyAlignment="1">
      <alignment horizontal="left" vertical="center" wrapText="1"/>
    </xf>
    <xf numFmtId="4" fontId="7" fillId="0" borderId="13" xfId="5" applyNumberFormat="1" applyFont="1" applyFill="1" applyBorder="1" applyAlignment="1">
      <alignment horizontal="center" vertical="center"/>
    </xf>
    <xf numFmtId="164" fontId="7" fillId="0" borderId="13" xfId="5" applyNumberFormat="1" applyFont="1" applyFill="1" applyBorder="1" applyAlignment="1">
      <alignment horizontal="center" vertical="center"/>
    </xf>
    <xf numFmtId="4" fontId="7" fillId="0" borderId="6" xfId="5" applyNumberFormat="1" applyFont="1" applyFill="1" applyBorder="1" applyAlignment="1">
      <alignment horizontal="left" vertical="center"/>
    </xf>
    <xf numFmtId="4" fontId="7" fillId="0" borderId="13" xfId="5" applyNumberFormat="1" applyFont="1" applyFill="1" applyBorder="1" applyAlignment="1">
      <alignment horizontal="left" vertical="center"/>
    </xf>
    <xf numFmtId="4" fontId="7" fillId="0" borderId="13" xfId="5" applyNumberFormat="1" applyFont="1" applyFill="1" applyBorder="1" applyAlignment="1">
      <alignment horizontal="center"/>
    </xf>
    <xf numFmtId="4" fontId="7" fillId="0" borderId="13" xfId="5" applyNumberFormat="1" applyFont="1" applyFill="1" applyBorder="1" applyAlignment="1">
      <alignment horizontal="right" wrapText="1"/>
    </xf>
    <xf numFmtId="49" fontId="7" fillId="0" borderId="23" xfId="5" applyNumberFormat="1" applyFont="1" applyFill="1" applyBorder="1" applyAlignment="1">
      <alignment horizontal="center" vertical="center" wrapText="1"/>
    </xf>
    <xf numFmtId="49" fontId="18" fillId="0" borderId="4" xfId="5" applyNumberFormat="1" applyFont="1" applyFill="1" applyBorder="1" applyAlignment="1">
      <alignment horizontal="center" vertical="center"/>
    </xf>
    <xf numFmtId="4" fontId="7" fillId="0" borderId="25" xfId="5" applyNumberFormat="1" applyFont="1" applyFill="1" applyBorder="1" applyAlignment="1">
      <alignment horizontal="center" vertical="center"/>
    </xf>
    <xf numFmtId="164" fontId="7" fillId="0" borderId="25" xfId="5" applyNumberFormat="1" applyFont="1" applyFill="1" applyBorder="1" applyAlignment="1">
      <alignment horizontal="center" vertical="center"/>
    </xf>
    <xf numFmtId="164" fontId="7" fillId="0" borderId="26" xfId="5" applyNumberFormat="1" applyFont="1" applyFill="1" applyBorder="1" applyAlignment="1">
      <alignment horizontal="center" vertical="center"/>
    </xf>
    <xf numFmtId="49" fontId="7" fillId="0" borderId="27" xfId="5" applyNumberFormat="1" applyFont="1" applyFill="1" applyBorder="1" applyAlignment="1">
      <alignment horizontal="center" vertical="center" wrapText="1"/>
    </xf>
    <xf numFmtId="164" fontId="7" fillId="0" borderId="28" xfId="5" applyNumberFormat="1" applyFont="1" applyFill="1" applyBorder="1" applyAlignment="1">
      <alignment horizontal="center" vertical="center"/>
    </xf>
    <xf numFmtId="49" fontId="7" fillId="0" borderId="29" xfId="5" applyNumberFormat="1" applyFont="1" applyFill="1" applyBorder="1" applyAlignment="1">
      <alignment horizontal="center" vertical="center" wrapText="1"/>
    </xf>
    <xf numFmtId="4" fontId="21" fillId="0" borderId="38" xfId="5" applyNumberFormat="1" applyFont="1" applyFill="1" applyBorder="1" applyAlignment="1">
      <alignment horizontal="right"/>
    </xf>
    <xf numFmtId="4" fontId="21" fillId="0" borderId="30" xfId="5" applyNumberFormat="1" applyFont="1" applyFill="1" applyBorder="1" applyAlignment="1">
      <alignment horizontal="center" vertical="center"/>
    </xf>
    <xf numFmtId="164" fontId="21" fillId="0" borderId="30" xfId="5" applyNumberFormat="1" applyFont="1" applyFill="1" applyBorder="1" applyAlignment="1">
      <alignment horizontal="center" vertical="center"/>
    </xf>
    <xf numFmtId="164" fontId="21" fillId="0" borderId="31" xfId="5" applyNumberFormat="1" applyFont="1" applyFill="1" applyBorder="1" applyAlignment="1">
      <alignment horizontal="center" vertical="center"/>
    </xf>
    <xf numFmtId="49" fontId="7" fillId="0" borderId="12" xfId="5" applyNumberFormat="1" applyFont="1" applyFill="1" applyBorder="1" applyAlignment="1">
      <alignment horizontal="center" vertical="center" wrapText="1"/>
    </xf>
    <xf numFmtId="49" fontId="7" fillId="0" borderId="24" xfId="5" applyNumberFormat="1" applyFont="1" applyFill="1" applyBorder="1" applyAlignment="1">
      <alignment horizontal="center" vertical="center" wrapText="1"/>
    </xf>
    <xf numFmtId="4" fontId="7" fillId="0" borderId="25" xfId="5" applyNumberFormat="1" applyFont="1" applyFill="1" applyBorder="1" applyAlignment="1">
      <alignment horizontal="left" vertical="center" wrapText="1"/>
    </xf>
    <xf numFmtId="49" fontId="18" fillId="0" borderId="11" xfId="5" applyNumberFormat="1" applyFont="1" applyFill="1" applyBorder="1" applyAlignment="1">
      <alignment horizontal="center" vertical="center"/>
    </xf>
    <xf numFmtId="164" fontId="21" fillId="0" borderId="39" xfId="5" applyNumberFormat="1" applyFont="1" applyFill="1" applyBorder="1" applyAlignment="1">
      <alignment horizontal="center" vertical="center"/>
    </xf>
    <xf numFmtId="4" fontId="26" fillId="0" borderId="13" xfId="5" applyNumberFormat="1" applyFont="1" applyFill="1" applyBorder="1" applyAlignment="1">
      <alignment horizontal="right" vertical="center" wrapText="1"/>
    </xf>
    <xf numFmtId="164" fontId="26" fillId="0" borderId="13" xfId="5" applyNumberFormat="1" applyFont="1" applyFill="1" applyBorder="1" applyAlignment="1">
      <alignment horizontal="center" vertical="center"/>
    </xf>
    <xf numFmtId="4" fontId="14" fillId="0" borderId="6" xfId="5" applyNumberFormat="1" applyFont="1" applyFill="1" applyBorder="1" applyAlignment="1">
      <alignment horizontal="left" vertical="center" wrapText="1"/>
    </xf>
    <xf numFmtId="164" fontId="7" fillId="0" borderId="6" xfId="5" applyNumberFormat="1" applyFont="1" applyFill="1" applyBorder="1" applyAlignment="1">
      <alignment horizontal="center" vertical="center"/>
    </xf>
    <xf numFmtId="49" fontId="18" fillId="0" borderId="4" xfId="5" applyNumberFormat="1" applyFont="1" applyFill="1" applyBorder="1" applyAlignment="1">
      <alignment horizontal="center" vertical="center" wrapText="1"/>
    </xf>
    <xf numFmtId="4" fontId="7" fillId="0" borderId="23" xfId="5" applyNumberFormat="1" applyFont="1" applyFill="1" applyBorder="1" applyAlignment="1">
      <alignment horizontal="left" vertical="center" wrapText="1"/>
    </xf>
    <xf numFmtId="4" fontId="7" fillId="0" borderId="23" xfId="5" applyNumberFormat="1" applyFont="1" applyFill="1" applyBorder="1" applyAlignment="1">
      <alignment horizontal="center" vertical="center" wrapText="1"/>
    </xf>
    <xf numFmtId="4" fontId="7" fillId="0" borderId="25" xfId="5" applyNumberFormat="1" applyFont="1" applyFill="1" applyBorder="1" applyAlignment="1">
      <alignment horizontal="center" vertical="center" wrapText="1"/>
    </xf>
    <xf numFmtId="4" fontId="7" fillId="0" borderId="30" xfId="5" applyNumberFormat="1" applyFont="1" applyFill="1" applyBorder="1" applyAlignment="1">
      <alignment horizontal="left" vertical="center" wrapText="1"/>
    </xf>
    <xf numFmtId="4" fontId="7" fillId="0" borderId="30" xfId="5" applyNumberFormat="1" applyFont="1" applyFill="1" applyBorder="1" applyAlignment="1">
      <alignment horizontal="center" vertical="center" wrapText="1"/>
    </xf>
    <xf numFmtId="49" fontId="18" fillId="0" borderId="12" xfId="5" applyNumberFormat="1" applyFont="1" applyFill="1" applyBorder="1" applyAlignment="1">
      <alignment horizontal="center" vertical="center" wrapText="1"/>
    </xf>
    <xf numFmtId="49" fontId="18" fillId="0" borderId="11" xfId="5" applyNumberFormat="1" applyFont="1" applyFill="1" applyBorder="1" applyAlignment="1">
      <alignment horizontal="center" vertical="center" wrapText="1"/>
    </xf>
    <xf numFmtId="4" fontId="7" fillId="0" borderId="6" xfId="5" applyNumberFormat="1" applyFont="1" applyFill="1" applyBorder="1" applyAlignment="1">
      <alignment horizontal="center" vertical="center" wrapText="1"/>
    </xf>
    <xf numFmtId="4" fontId="7" fillId="0" borderId="12" xfId="5" applyNumberFormat="1" applyFont="1" applyFill="1" applyBorder="1" applyAlignment="1">
      <alignment horizontal="left" vertical="center" wrapText="1"/>
    </xf>
    <xf numFmtId="49" fontId="18" fillId="0" borderId="3" xfId="5" applyNumberFormat="1" applyFont="1" applyFill="1" applyBorder="1" applyAlignment="1">
      <alignment horizontal="center" vertical="center" wrapText="1"/>
    </xf>
    <xf numFmtId="49" fontId="7" fillId="0" borderId="33" xfId="5" applyNumberFormat="1" applyFont="1" applyFill="1" applyBorder="1" applyAlignment="1">
      <alignment horizontal="center" vertical="center" wrapText="1"/>
    </xf>
    <xf numFmtId="49" fontId="18" fillId="0" borderId="6" xfId="5" applyNumberFormat="1" applyFont="1" applyFill="1" applyBorder="1" applyAlignment="1">
      <alignment horizontal="center" vertical="center" wrapText="1"/>
    </xf>
    <xf numFmtId="49" fontId="7" fillId="0" borderId="25" xfId="5" applyNumberFormat="1" applyFont="1" applyFill="1" applyBorder="1" applyAlignment="1">
      <alignment horizontal="center" vertical="center" wrapText="1"/>
    </xf>
    <xf numFmtId="49" fontId="7" fillId="0" borderId="35" xfId="5" applyNumberFormat="1" applyFont="1" applyFill="1" applyBorder="1" applyAlignment="1">
      <alignment horizontal="center" vertical="center" wrapText="1"/>
    </xf>
    <xf numFmtId="49" fontId="14" fillId="0" borderId="27" xfId="5" applyNumberFormat="1" applyFont="1" applyFill="1" applyBorder="1" applyAlignment="1">
      <alignment horizontal="center" vertical="center" wrapText="1"/>
    </xf>
    <xf numFmtId="4" fontId="18" fillId="0" borderId="13" xfId="5" applyNumberFormat="1" applyFont="1" applyFill="1" applyBorder="1" applyAlignment="1">
      <alignment horizontal="right" vertical="center" wrapText="1"/>
    </xf>
    <xf numFmtId="4" fontId="18" fillId="0" borderId="13" xfId="5" applyNumberFormat="1" applyFont="1" applyFill="1" applyBorder="1" applyAlignment="1">
      <alignment horizontal="center" vertical="center" wrapText="1"/>
    </xf>
    <xf numFmtId="164" fontId="28" fillId="0" borderId="6" xfId="0" applyNumberFormat="1" applyFont="1" applyFill="1" applyBorder="1"/>
    <xf numFmtId="49" fontId="14" fillId="0" borderId="13" xfId="5" applyNumberFormat="1" applyFont="1" applyFill="1" applyBorder="1" applyAlignment="1">
      <alignment horizontal="center" vertical="center" wrapText="1"/>
    </xf>
    <xf numFmtId="4" fontId="14" fillId="0" borderId="13" xfId="5" applyNumberFormat="1" applyFont="1" applyFill="1" applyBorder="1" applyAlignment="1">
      <alignment horizontal="left" vertical="center" wrapText="1"/>
    </xf>
    <xf numFmtId="4" fontId="14" fillId="0" borderId="13" xfId="5" applyNumberFormat="1" applyFont="1" applyFill="1" applyBorder="1" applyAlignment="1">
      <alignment horizontal="center" vertical="center" wrapText="1"/>
    </xf>
    <xf numFmtId="49" fontId="12" fillId="0" borderId="13" xfId="5" applyNumberFormat="1" applyFont="1" applyFill="1" applyBorder="1" applyAlignment="1">
      <alignment horizontal="center" vertical="center" wrapText="1"/>
    </xf>
    <xf numFmtId="4" fontId="12" fillId="0" borderId="13" xfId="5" applyNumberFormat="1" applyFont="1" applyFill="1" applyBorder="1" applyAlignment="1">
      <alignment horizontal="left" vertical="center" wrapText="1"/>
    </xf>
    <xf numFmtId="4" fontId="12" fillId="0" borderId="13" xfId="5" applyNumberFormat="1" applyFont="1" applyFill="1" applyBorder="1" applyAlignment="1">
      <alignment horizontal="center" vertical="center" wrapText="1"/>
    </xf>
    <xf numFmtId="4" fontId="18" fillId="0" borderId="6" xfId="5" applyNumberFormat="1" applyFont="1" applyFill="1" applyBorder="1" applyAlignment="1">
      <alignment horizontal="right" vertical="center" wrapText="1"/>
    </xf>
    <xf numFmtId="4" fontId="18" fillId="0" borderId="6" xfId="5" applyNumberFormat="1" applyFont="1" applyFill="1" applyBorder="1" applyAlignment="1">
      <alignment horizontal="center" vertical="center" wrapText="1"/>
    </xf>
    <xf numFmtId="49" fontId="18" fillId="0" borderId="23" xfId="5" applyNumberFormat="1" applyFont="1" applyFill="1" applyBorder="1" applyAlignment="1">
      <alignment horizontal="center" vertical="center" wrapText="1"/>
    </xf>
    <xf numFmtId="4" fontId="21" fillId="0" borderId="23" xfId="5" applyNumberFormat="1" applyFont="1" applyFill="1" applyBorder="1" applyAlignment="1">
      <alignment horizontal="right" vertical="center" wrapText="1"/>
    </xf>
    <xf numFmtId="4" fontId="21" fillId="0" borderId="23" xfId="5" applyNumberFormat="1" applyFont="1" applyFill="1" applyBorder="1" applyAlignment="1">
      <alignment horizontal="center" vertical="center" wrapText="1"/>
    </xf>
    <xf numFmtId="49" fontId="7" fillId="0" borderId="37" xfId="5" applyNumberFormat="1" applyFont="1" applyFill="1" applyBorder="1" applyAlignment="1">
      <alignment horizontal="center" vertical="center" wrapText="1"/>
    </xf>
    <xf numFmtId="49" fontId="14" fillId="0" borderId="23" xfId="5" applyNumberFormat="1" applyFont="1" applyFill="1" applyBorder="1" applyAlignment="1">
      <alignment horizontal="center" vertical="center" wrapText="1"/>
    </xf>
    <xf numFmtId="4" fontId="14" fillId="0" borderId="23" xfId="5" applyNumberFormat="1" applyFont="1" applyFill="1" applyBorder="1" applyAlignment="1">
      <alignment horizontal="left" vertical="center" wrapText="1"/>
    </xf>
    <xf numFmtId="4" fontId="14" fillId="0" borderId="23" xfId="5" applyNumberFormat="1" applyFont="1" applyFill="1" applyBorder="1" applyAlignment="1">
      <alignment horizontal="center" vertical="center" wrapText="1"/>
    </xf>
    <xf numFmtId="49" fontId="14" fillId="0" borderId="35" xfId="5" applyNumberFormat="1" applyFont="1" applyFill="1" applyBorder="1" applyAlignment="1">
      <alignment horizontal="center" vertical="center" wrapText="1"/>
    </xf>
    <xf numFmtId="4" fontId="14" fillId="0" borderId="6" xfId="5" applyNumberFormat="1" applyFont="1" applyFill="1" applyBorder="1" applyAlignment="1">
      <alignment horizontal="center" vertical="center" wrapText="1"/>
    </xf>
    <xf numFmtId="4" fontId="21" fillId="0" borderId="12" xfId="5" applyNumberFormat="1" applyFont="1" applyFill="1" applyBorder="1" applyAlignment="1">
      <alignment horizontal="right" vertical="center" wrapText="1"/>
    </xf>
    <xf numFmtId="4" fontId="21" fillId="0" borderId="6" xfId="5" applyNumberFormat="1" applyFont="1" applyFill="1" applyBorder="1" applyAlignment="1">
      <alignment horizontal="center" vertical="center" wrapText="1"/>
    </xf>
    <xf numFmtId="49" fontId="14" fillId="0" borderId="37" xfId="5" applyNumberFormat="1" applyFont="1" applyFill="1" applyBorder="1" applyAlignment="1">
      <alignment horizontal="center" vertical="center" wrapText="1"/>
    </xf>
    <xf numFmtId="4" fontId="14" fillId="0" borderId="38" xfId="5" applyNumberFormat="1" applyFont="1" applyFill="1" applyBorder="1" applyAlignment="1">
      <alignment horizontal="left" vertical="center" wrapText="1"/>
    </xf>
    <xf numFmtId="4" fontId="14" fillId="0" borderId="38" xfId="5" applyNumberFormat="1" applyFont="1" applyFill="1" applyBorder="1" applyAlignment="1">
      <alignment horizontal="center" vertical="center" wrapText="1"/>
    </xf>
    <xf numFmtId="4" fontId="14" fillId="0" borderId="25" xfId="5" applyNumberFormat="1" applyFont="1" applyFill="1" applyBorder="1" applyAlignment="1">
      <alignment horizontal="center" vertical="center" wrapText="1"/>
    </xf>
    <xf numFmtId="4" fontId="14" fillId="0" borderId="28" xfId="5" applyNumberFormat="1" applyFont="1" applyFill="1" applyBorder="1" applyAlignment="1">
      <alignment horizontal="center" vertical="center" wrapText="1"/>
    </xf>
    <xf numFmtId="4" fontId="21" fillId="0" borderId="6" xfId="5" applyNumberFormat="1" applyFont="1" applyFill="1" applyBorder="1" applyAlignment="1">
      <alignment horizontal="right" vertical="center" wrapText="1"/>
    </xf>
    <xf numFmtId="4" fontId="14" fillId="0" borderId="36" xfId="5" applyNumberFormat="1" applyFont="1" applyFill="1" applyBorder="1" applyAlignment="1">
      <alignment horizontal="center" vertical="center" wrapText="1"/>
    </xf>
    <xf numFmtId="4" fontId="7" fillId="0" borderId="38" xfId="5" applyNumberFormat="1" applyFont="1" applyFill="1" applyBorder="1" applyAlignment="1">
      <alignment horizontal="left" vertical="center" wrapText="1"/>
    </xf>
    <xf numFmtId="4" fontId="7" fillId="0" borderId="38" xfId="5" applyNumberFormat="1" applyFont="1" applyFill="1" applyBorder="1" applyAlignment="1">
      <alignment horizontal="center" vertical="center" wrapText="1"/>
    </xf>
    <xf numFmtId="4" fontId="7" fillId="0" borderId="6" xfId="5" applyNumberFormat="1" applyFont="1" applyFill="1" applyBorder="1" applyAlignment="1">
      <alignment horizontal="center" wrapText="1"/>
    </xf>
    <xf numFmtId="4" fontId="7" fillId="0" borderId="6" xfId="5" applyNumberFormat="1" applyFont="1" applyFill="1" applyBorder="1" applyAlignment="1">
      <alignment horizontal="right" vertical="center" wrapText="1"/>
    </xf>
    <xf numFmtId="4" fontId="7" fillId="0" borderId="6" xfId="7" applyNumberFormat="1" applyFont="1" applyFill="1" applyBorder="1" applyAlignment="1">
      <alignment horizontal="left" vertical="center" wrapText="1"/>
    </xf>
    <xf numFmtId="49" fontId="7" fillId="0" borderId="6" xfId="5" applyNumberFormat="1" applyFont="1" applyFill="1" applyBorder="1" applyAlignment="1">
      <alignment horizontal="left" vertical="center" wrapText="1"/>
    </xf>
    <xf numFmtId="164" fontId="7" fillId="0" borderId="6" xfId="5" applyNumberFormat="1" applyFont="1" applyFill="1" applyBorder="1" applyAlignment="1">
      <alignment horizontal="right" wrapText="1"/>
    </xf>
    <xf numFmtId="4" fontId="7" fillId="0" borderId="0" xfId="5" applyNumberFormat="1" applyFont="1" applyFill="1" applyBorder="1" applyAlignment="1">
      <alignment horizontal="left" vertical="center" wrapText="1"/>
    </xf>
    <xf numFmtId="49" fontId="14" fillId="0" borderId="35" xfId="5" applyNumberFormat="1" applyFont="1" applyFill="1" applyBorder="1" applyAlignment="1">
      <alignment horizontal="left" vertical="center" wrapText="1"/>
    </xf>
    <xf numFmtId="4" fontId="14" fillId="0" borderId="6" xfId="5" applyNumberFormat="1" applyFont="1" applyFill="1" applyBorder="1" applyAlignment="1">
      <alignment horizontal="right" vertical="center" wrapText="1"/>
    </xf>
    <xf numFmtId="49" fontId="14" fillId="0" borderId="37" xfId="5" applyNumberFormat="1" applyFont="1" applyFill="1" applyBorder="1" applyAlignment="1">
      <alignment horizontal="left" vertical="center" wrapText="1"/>
    </xf>
    <xf numFmtId="49" fontId="14" fillId="0" borderId="13" xfId="5" applyNumberFormat="1" applyFont="1" applyFill="1" applyBorder="1" applyAlignment="1">
      <alignment horizontal="left" vertical="center" wrapText="1"/>
    </xf>
    <xf numFmtId="49" fontId="14" fillId="0" borderId="6" xfId="5" applyNumberFormat="1" applyFont="1" applyFill="1" applyBorder="1" applyAlignment="1">
      <alignment horizontal="left" vertical="center" wrapText="1"/>
    </xf>
    <xf numFmtId="164" fontId="14" fillId="0" borderId="6" xfId="5" applyNumberFormat="1" applyFont="1" applyFill="1" applyBorder="1" applyAlignment="1">
      <alignment horizontal="left" vertical="center"/>
    </xf>
    <xf numFmtId="4" fontId="35" fillId="0" borderId="6" xfId="5" applyNumberFormat="1" applyFont="1" applyFill="1" applyBorder="1" applyAlignment="1">
      <alignment horizontal="left" vertical="center"/>
    </xf>
    <xf numFmtId="49" fontId="14" fillId="0" borderId="6" xfId="5" applyNumberFormat="1" applyFont="1" applyFill="1" applyBorder="1" applyAlignment="1">
      <alignment horizontal="center" vertical="center" wrapText="1"/>
    </xf>
    <xf numFmtId="164" fontId="7" fillId="0" borderId="6" xfId="5" applyNumberFormat="1" applyFont="1" applyFill="1" applyBorder="1" applyAlignment="1">
      <alignment horizontal="left" vertical="center"/>
    </xf>
    <xf numFmtId="49" fontId="18" fillId="0" borderId="12" xfId="5" applyNumberFormat="1" applyFont="1" applyFill="1" applyBorder="1" applyAlignment="1">
      <alignment horizontal="center" vertical="center"/>
    </xf>
    <xf numFmtId="49" fontId="7" fillId="0" borderId="12" xfId="5" applyNumberFormat="1" applyFont="1" applyFill="1" applyBorder="1" applyAlignment="1">
      <alignment horizontal="left" vertical="center" wrapText="1"/>
    </xf>
    <xf numFmtId="4" fontId="14" fillId="0" borderId="12" xfId="5" applyNumberFormat="1" applyFont="1" applyFill="1" applyBorder="1" applyAlignment="1">
      <alignment horizontal="center" vertical="center"/>
    </xf>
    <xf numFmtId="4" fontId="14" fillId="0" borderId="12" xfId="5" applyNumberFormat="1" applyFont="1" applyFill="1" applyBorder="1" applyAlignment="1">
      <alignment horizontal="left" vertical="center"/>
    </xf>
    <xf numFmtId="164" fontId="14" fillId="0" borderId="12" xfId="5" applyNumberFormat="1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49" fontId="18" fillId="0" borderId="1" xfId="5" applyNumberFormat="1" applyFont="1" applyFill="1" applyBorder="1" applyAlignment="1">
      <alignment horizontal="center" vertical="center" wrapText="1"/>
    </xf>
    <xf numFmtId="49" fontId="7" fillId="0" borderId="14" xfId="5" applyNumberFormat="1" applyFont="1" applyFill="1" applyBorder="1" applyAlignment="1">
      <alignment horizontal="left" vertical="center" wrapText="1"/>
    </xf>
    <xf numFmtId="164" fontId="7" fillId="0" borderId="0" xfId="0" applyNumberFormat="1" applyFont="1" applyFill="1" applyBorder="1"/>
    <xf numFmtId="4" fontId="9" fillId="2" borderId="15" xfId="0" applyNumberFormat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164" fontId="5" fillId="0" borderId="0" xfId="2" applyNumberFormat="1" applyFont="1" applyFill="1" applyBorder="1" applyAlignment="1">
      <alignment horizontal="left" vertical="center" wrapText="1"/>
    </xf>
    <xf numFmtId="4" fontId="4" fillId="0" borderId="18" xfId="5" applyNumberFormat="1" applyFont="1" applyFill="1" applyBorder="1" applyAlignment="1">
      <alignment horizontal="left" vertical="center" wrapText="1"/>
    </xf>
    <xf numFmtId="4" fontId="4" fillId="0" borderId="0" xfId="5" applyNumberFormat="1" applyFont="1" applyFill="1" applyBorder="1" applyAlignment="1">
      <alignment horizontal="left" vertical="center" wrapText="1"/>
    </xf>
    <xf numFmtId="4" fontId="6" fillId="0" borderId="0" xfId="5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" fontId="6" fillId="0" borderId="15" xfId="5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49" fontId="6" fillId="0" borderId="1" xfId="4" applyNumberFormat="1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center" wrapText="1"/>
    </xf>
    <xf numFmtId="49" fontId="6" fillId="0" borderId="3" xfId="2" applyNumberFormat="1" applyFont="1" applyFill="1" applyBorder="1" applyAlignment="1">
      <alignment horizontal="left" vertical="center" wrapText="1" readingOrder="1"/>
    </xf>
    <xf numFmtId="0" fontId="5" fillId="0" borderId="0" xfId="2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wrapText="1"/>
    </xf>
    <xf numFmtId="0" fontId="5" fillId="0" borderId="16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4" fontId="9" fillId="2" borderId="18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4" fontId="4" fillId="0" borderId="3" xfId="2" applyNumberFormat="1" applyFont="1" applyFill="1" applyBorder="1" applyAlignment="1">
      <alignment horizontal="left" vertical="center" wrapText="1" readingOrder="1"/>
    </xf>
    <xf numFmtId="0" fontId="5" fillId="0" borderId="0" xfId="2" applyFont="1" applyFill="1" applyBorder="1" applyAlignment="1">
      <alignment horizontal="left" vertical="center" wrapText="1" readingOrder="1"/>
    </xf>
    <xf numFmtId="0" fontId="5" fillId="0" borderId="10" xfId="0" applyFont="1" applyFill="1" applyBorder="1" applyAlignment="1">
      <alignment horizontal="left" vertical="center" wrapText="1" readingOrder="1"/>
    </xf>
    <xf numFmtId="0" fontId="5" fillId="0" borderId="10" xfId="0" applyFont="1" applyFill="1" applyBorder="1" applyAlignment="1">
      <alignment horizontal="left" vertical="center" wrapText="1"/>
    </xf>
    <xf numFmtId="4" fontId="4" fillId="0" borderId="3" xfId="2" applyNumberFormat="1" applyFont="1" applyFill="1" applyBorder="1" applyAlignment="1">
      <alignment horizontal="left" vertical="center" wrapText="1"/>
    </xf>
    <xf numFmtId="4" fontId="4" fillId="0" borderId="4" xfId="4" applyNumberFormat="1" applyFont="1" applyFill="1" applyBorder="1" applyAlignment="1">
      <alignment horizontal="left" vertical="center" wrapText="1"/>
    </xf>
    <xf numFmtId="0" fontId="5" fillId="0" borderId="5" xfId="2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164" fontId="6" fillId="0" borderId="11" xfId="2" applyNumberFormat="1" applyFont="1" applyFill="1" applyBorder="1" applyAlignment="1">
      <alignment horizontal="center" vertical="center" wrapText="1"/>
    </xf>
    <xf numFmtId="164" fontId="5" fillId="0" borderId="8" xfId="2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4" fontId="6" fillId="0" borderId="18" xfId="5" applyNumberFormat="1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8" xfId="0" applyNumberFormat="1" applyFont="1" applyFill="1" applyBorder="1" applyAlignment="1">
      <alignment horizontal="center" vertical="center" wrapText="1"/>
    </xf>
    <xf numFmtId="4" fontId="14" fillId="0" borderId="9" xfId="0" applyNumberFormat="1" applyFont="1" applyFill="1" applyBorder="1" applyAlignment="1">
      <alignment horizontal="center" vertical="center" wrapText="1"/>
    </xf>
    <xf numFmtId="49" fontId="10" fillId="0" borderId="1" xfId="4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10" fillId="0" borderId="3" xfId="2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4" fontId="8" fillId="0" borderId="3" xfId="2" applyNumberFormat="1" applyFont="1" applyFill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horizontal="left" vertical="center" wrapText="1" readingOrder="1"/>
    </xf>
    <xf numFmtId="0" fontId="7" fillId="0" borderId="10" xfId="0" applyFont="1" applyFill="1" applyBorder="1" applyAlignment="1">
      <alignment horizontal="left" vertical="center" wrapText="1"/>
    </xf>
    <xf numFmtId="4" fontId="8" fillId="0" borderId="11" xfId="2" applyNumberFormat="1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4" fontId="8" fillId="0" borderId="4" xfId="4" applyNumberFormat="1" applyFont="1" applyFill="1" applyBorder="1" applyAlignment="1">
      <alignment horizontal="left" vertical="center" wrapText="1" readingOrder="1"/>
    </xf>
    <xf numFmtId="0" fontId="7" fillId="0" borderId="5" xfId="0" applyFont="1" applyFill="1" applyBorder="1" applyAlignment="1">
      <alignment horizontal="left" vertical="center" wrapText="1" readingOrder="1"/>
    </xf>
    <xf numFmtId="0" fontId="7" fillId="0" borderId="14" xfId="0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left" vertical="center" wrapText="1"/>
    </xf>
    <xf numFmtId="49" fontId="10" fillId="0" borderId="11" xfId="4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" fontId="8" fillId="0" borderId="12" xfId="5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164" fontId="10" fillId="0" borderId="12" xfId="5" applyNumberFormat="1" applyFont="1" applyFill="1" applyBorder="1" applyAlignment="1">
      <alignment horizontal="center" vertical="center" wrapText="1"/>
    </xf>
    <xf numFmtId="164" fontId="10" fillId="0" borderId="13" xfId="5" applyNumberFormat="1" applyFont="1" applyFill="1" applyBorder="1" applyAlignment="1">
      <alignment horizontal="center" vertical="center" wrapText="1"/>
    </xf>
    <xf numFmtId="49" fontId="17" fillId="0" borderId="12" xfId="5" applyNumberFormat="1" applyFont="1" applyFill="1" applyBorder="1" applyAlignment="1">
      <alignment horizontal="center" vertical="center" wrapText="1"/>
    </xf>
    <xf numFmtId="49" fontId="17" fillId="0" borderId="13" xfId="5" applyNumberFormat="1" applyFont="1" applyFill="1" applyBorder="1" applyAlignment="1">
      <alignment horizontal="center" vertical="center" wrapText="1"/>
    </xf>
    <xf numFmtId="49" fontId="10" fillId="0" borderId="12" xfId="5" applyNumberFormat="1" applyFont="1" applyFill="1" applyBorder="1" applyAlignment="1">
      <alignment horizontal="center" vertical="center" wrapText="1"/>
    </xf>
    <xf numFmtId="49" fontId="10" fillId="0" borderId="13" xfId="5" applyNumberFormat="1" applyFont="1" applyFill="1" applyBorder="1" applyAlignment="1">
      <alignment horizontal="center" vertical="center" wrapText="1"/>
    </xf>
    <xf numFmtId="4" fontId="10" fillId="0" borderId="12" xfId="5" applyNumberFormat="1" applyFont="1" applyFill="1" applyBorder="1" applyAlignment="1">
      <alignment horizontal="center" vertical="center" wrapText="1"/>
    </xf>
    <xf numFmtId="4" fontId="10" fillId="0" borderId="13" xfId="5" applyNumberFormat="1" applyFont="1" applyFill="1" applyBorder="1" applyAlignment="1">
      <alignment horizontal="center" vertical="center" wrapText="1"/>
    </xf>
    <xf numFmtId="4" fontId="8" fillId="0" borderId="13" xfId="5" applyNumberFormat="1" applyFont="1" applyFill="1" applyBorder="1" applyAlignment="1">
      <alignment horizontal="center" vertical="center" wrapText="1"/>
    </xf>
    <xf numFmtId="4" fontId="8" fillId="0" borderId="9" xfId="2" applyNumberFormat="1" applyFont="1" applyFill="1" applyBorder="1" applyAlignment="1">
      <alignment horizontal="left" vertical="center" wrapText="1"/>
    </xf>
    <xf numFmtId="43" fontId="26" fillId="0" borderId="12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4" fontId="26" fillId="0" borderId="12" xfId="0" applyNumberFormat="1" applyFont="1" applyBorder="1" applyAlignment="1">
      <alignment horizontal="right" vertical="center" wrapText="1"/>
    </xf>
    <xf numFmtId="4" fontId="26" fillId="0" borderId="13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10" fontId="5" fillId="0" borderId="12" xfId="0" applyNumberFormat="1" applyFont="1" applyBorder="1" applyAlignment="1">
      <alignment horizontal="center" vertical="center" wrapText="1"/>
    </xf>
    <xf numFmtId="10" fontId="5" fillId="0" borderId="13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9" fontId="6" fillId="0" borderId="3" xfId="2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0" fontId="5" fillId="0" borderId="12" xfId="0" applyNumberFormat="1" applyFont="1" applyBorder="1" applyAlignment="1">
      <alignment horizontal="left" vertical="center" wrapText="1"/>
    </xf>
    <xf numFmtId="43" fontId="5" fillId="0" borderId="4" xfId="0" applyNumberFormat="1" applyFont="1" applyBorder="1" applyAlignment="1">
      <alignment horizontal="center" vertical="center" wrapText="1"/>
    </xf>
    <xf numFmtId="43" fontId="5" fillId="0" borderId="14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left" vertical="center" wrapText="1"/>
    </xf>
    <xf numFmtId="10" fontId="5" fillId="0" borderId="7" xfId="0" applyNumberFormat="1" applyFont="1" applyBorder="1" applyAlignment="1">
      <alignment horizontal="left" vertical="center" wrapText="1"/>
    </xf>
    <xf numFmtId="43" fontId="5" fillId="0" borderId="13" xfId="0" applyNumberFormat="1" applyFont="1" applyBorder="1" applyAlignment="1">
      <alignment horizontal="center" vertical="center" wrapText="1"/>
    </xf>
    <xf numFmtId="4" fontId="8" fillId="0" borderId="4" xfId="2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 readingOrder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4" xfId="4" applyNumberFormat="1" applyFont="1" applyFill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9" fillId="0" borderId="11" xfId="4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16" fillId="2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4" fontId="27" fillId="2" borderId="15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4" fontId="20" fillId="0" borderId="13" xfId="0" applyNumberFormat="1" applyFont="1" applyFill="1" applyBorder="1" applyAlignment="1">
      <alignment horizontal="center" vertical="center" wrapText="1"/>
    </xf>
    <xf numFmtId="4" fontId="25" fillId="0" borderId="0" xfId="2" applyNumberFormat="1" applyFont="1" applyFill="1" applyBorder="1" applyAlignment="1">
      <alignment horizontal="left" vertical="center" wrapText="1" readingOrder="1"/>
    </xf>
    <xf numFmtId="0" fontId="26" fillId="0" borderId="0" xfId="0" applyFont="1" applyFill="1" applyBorder="1" applyAlignment="1">
      <alignment horizontal="left" vertical="center" wrapText="1" readingOrder="1"/>
    </xf>
    <xf numFmtId="0" fontId="26" fillId="0" borderId="0" xfId="0" applyFont="1" applyFill="1" applyBorder="1" applyAlignment="1">
      <alignment horizontal="left" vertical="center" wrapText="1"/>
    </xf>
    <xf numFmtId="0" fontId="21" fillId="0" borderId="38" xfId="0" applyFont="1" applyFill="1" applyBorder="1" applyAlignment="1">
      <alignment horizontal="right" vertical="center" wrapText="1"/>
    </xf>
    <xf numFmtId="0" fontId="18" fillId="0" borderId="46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 readingOrder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 readingOrder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 readingOrder="1"/>
    </xf>
    <xf numFmtId="0" fontId="14" fillId="0" borderId="11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right" vertical="center" wrapText="1"/>
    </xf>
    <xf numFmtId="4" fontId="21" fillId="0" borderId="38" xfId="5" applyNumberFormat="1" applyFont="1" applyFill="1" applyBorder="1" applyAlignment="1">
      <alignment horizontal="right" vertical="center" wrapText="1"/>
    </xf>
    <xf numFmtId="4" fontId="34" fillId="0" borderId="11" xfId="5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 wrapText="1"/>
    </xf>
    <xf numFmtId="4" fontId="7" fillId="0" borderId="3" xfId="2" applyNumberFormat="1" applyFont="1" applyFill="1" applyBorder="1" applyAlignment="1">
      <alignment horizontal="left" vertical="center" wrapText="1" readingOrder="1"/>
    </xf>
    <xf numFmtId="4" fontId="7" fillId="0" borderId="3" xfId="4" applyNumberFormat="1" applyFont="1" applyFill="1" applyBorder="1" applyAlignment="1">
      <alignment horizontal="left" vertical="center" wrapText="1" readingOrder="1"/>
    </xf>
    <xf numFmtId="164" fontId="7" fillId="0" borderId="6" xfId="0" applyNumberFormat="1" applyFont="1" applyFill="1" applyBorder="1" applyAlignment="1"/>
    <xf numFmtId="0" fontId="18" fillId="0" borderId="0" xfId="0" applyFont="1" applyFill="1" applyBorder="1" applyAlignment="1">
      <alignment horizontal="center" vertical="center"/>
    </xf>
  </cellXfs>
  <cellStyles count="9">
    <cellStyle name="Normal" xfId="0" builtinId="0"/>
    <cellStyle name="Normal 2" xfId="1"/>
    <cellStyle name="Normal 2 3" xfId="2"/>
    <cellStyle name="Normal 3" xfId="6"/>
    <cellStyle name="Normal 4" xfId="7"/>
    <cellStyle name="Normal 5" xfId="8"/>
    <cellStyle name="Normal_P_Getulio Vargas" xfId="3"/>
    <cellStyle name="Normal_P_Getulio Vargas 2" xfId="4"/>
    <cellStyle name="Normal_P-HLEITE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167640</xdr:colOff>
      <xdr:row>3</xdr:row>
      <xdr:rowOff>160020</xdr:rowOff>
    </xdr:from>
    <xdr:to>
      <xdr:col>3</xdr:col>
      <xdr:colOff>403860</xdr:colOff>
      <xdr:row>7</xdr:row>
      <xdr:rowOff>114300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3940" y="731520"/>
          <a:ext cx="845820" cy="82105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114301</xdr:colOff>
      <xdr:row>7</xdr:row>
      <xdr:rowOff>0</xdr:rowOff>
    </xdr:from>
    <xdr:to>
      <xdr:col>2</xdr:col>
      <xdr:colOff>314325</xdr:colOff>
      <xdr:row>9</xdr:row>
      <xdr:rowOff>129540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6" y="1409700"/>
          <a:ext cx="761999" cy="87249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150813</xdr:colOff>
      <xdr:row>3</xdr:row>
      <xdr:rowOff>15874</xdr:rowOff>
    </xdr:from>
    <xdr:to>
      <xdr:col>2</xdr:col>
      <xdr:colOff>632460</xdr:colOff>
      <xdr:row>6</xdr:row>
      <xdr:rowOff>0</xdr:rowOff>
    </xdr:to>
    <xdr:pic>
      <xdr:nvPicPr>
        <xdr:cNvPr id="2604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993" y="633094"/>
          <a:ext cx="885507" cy="1012826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361951</xdr:colOff>
      <xdr:row>6</xdr:row>
      <xdr:rowOff>76200</xdr:rowOff>
    </xdr:from>
    <xdr:to>
      <xdr:col>2</xdr:col>
      <xdr:colOff>561975</xdr:colOff>
      <xdr:row>8</xdr:row>
      <xdr:rowOff>367665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6" y="1276350"/>
          <a:ext cx="761999" cy="87249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650875</xdr:colOff>
      <xdr:row>1</xdr:row>
      <xdr:rowOff>69851</xdr:rowOff>
    </xdr:from>
    <xdr:to>
      <xdr:col>2</xdr:col>
      <xdr:colOff>1765300</xdr:colOff>
      <xdr:row>7</xdr:row>
      <xdr:rowOff>127000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11475" y="260351"/>
          <a:ext cx="1114425" cy="146684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9526</xdr:colOff>
      <xdr:row>13</xdr:row>
      <xdr:rowOff>68581</xdr:rowOff>
    </xdr:from>
    <xdr:to>
      <xdr:col>12</xdr:col>
      <xdr:colOff>939800</xdr:colOff>
      <xdr:row>13</xdr:row>
      <xdr:rowOff>114300</xdr:rowOff>
    </xdr:to>
    <xdr:sp macro="" textlink="">
      <xdr:nvSpPr>
        <xdr:cNvPr id="3" name="Retângulo 2"/>
        <xdr:cNvSpPr/>
      </xdr:nvSpPr>
      <xdr:spPr>
        <a:xfrm>
          <a:off x="6842126" y="2773681"/>
          <a:ext cx="8308974" cy="4571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180975</xdr:colOff>
      <xdr:row>15</xdr:row>
      <xdr:rowOff>68581</xdr:rowOff>
    </xdr:from>
    <xdr:to>
      <xdr:col>5</xdr:col>
      <xdr:colOff>419100</xdr:colOff>
      <xdr:row>15</xdr:row>
      <xdr:rowOff>114300</xdr:rowOff>
    </xdr:to>
    <xdr:sp macro="" textlink="">
      <xdr:nvSpPr>
        <xdr:cNvPr id="4" name="Retângulo 3"/>
        <xdr:cNvSpPr/>
      </xdr:nvSpPr>
      <xdr:spPr>
        <a:xfrm>
          <a:off x="4448175" y="4297681"/>
          <a:ext cx="238125" cy="4571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142876</xdr:colOff>
      <xdr:row>17</xdr:row>
      <xdr:rowOff>57150</xdr:rowOff>
    </xdr:from>
    <xdr:to>
      <xdr:col>5</xdr:col>
      <xdr:colOff>447676</xdr:colOff>
      <xdr:row>17</xdr:row>
      <xdr:rowOff>102869</xdr:rowOff>
    </xdr:to>
    <xdr:sp macro="" textlink="">
      <xdr:nvSpPr>
        <xdr:cNvPr id="6" name="Retângulo 5"/>
        <xdr:cNvSpPr/>
      </xdr:nvSpPr>
      <xdr:spPr>
        <a:xfrm>
          <a:off x="4410076" y="4667250"/>
          <a:ext cx="304800" cy="4571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523875</xdr:colOff>
      <xdr:row>19</xdr:row>
      <xdr:rowOff>87630</xdr:rowOff>
    </xdr:from>
    <xdr:to>
      <xdr:col>12</xdr:col>
      <xdr:colOff>295275</xdr:colOff>
      <xdr:row>19</xdr:row>
      <xdr:rowOff>133349</xdr:rowOff>
    </xdr:to>
    <xdr:sp macro="" textlink="">
      <xdr:nvSpPr>
        <xdr:cNvPr id="7" name="Retângulo 6"/>
        <xdr:cNvSpPr/>
      </xdr:nvSpPr>
      <xdr:spPr>
        <a:xfrm flipV="1">
          <a:off x="4791075" y="5078730"/>
          <a:ext cx="5257800" cy="4571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342900</xdr:colOff>
      <xdr:row>21</xdr:row>
      <xdr:rowOff>68581</xdr:rowOff>
    </xdr:from>
    <xdr:to>
      <xdr:col>12</xdr:col>
      <xdr:colOff>381000</xdr:colOff>
      <xdr:row>21</xdr:row>
      <xdr:rowOff>114300</xdr:rowOff>
    </xdr:to>
    <xdr:sp macro="" textlink="">
      <xdr:nvSpPr>
        <xdr:cNvPr id="9" name="Retângulo 8"/>
        <xdr:cNvSpPr/>
      </xdr:nvSpPr>
      <xdr:spPr>
        <a:xfrm>
          <a:off x="5410200" y="5726431"/>
          <a:ext cx="4724400" cy="4571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390525</xdr:colOff>
      <xdr:row>25</xdr:row>
      <xdr:rowOff>76200</xdr:rowOff>
    </xdr:from>
    <xdr:to>
      <xdr:col>12</xdr:col>
      <xdr:colOff>180974</xdr:colOff>
      <xdr:row>25</xdr:row>
      <xdr:rowOff>121919</xdr:rowOff>
    </xdr:to>
    <xdr:sp macro="" textlink="">
      <xdr:nvSpPr>
        <xdr:cNvPr id="11" name="Retângulo 10"/>
        <xdr:cNvSpPr/>
      </xdr:nvSpPr>
      <xdr:spPr>
        <a:xfrm>
          <a:off x="5457825" y="6496050"/>
          <a:ext cx="4476749" cy="4571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12</xdr:col>
      <xdr:colOff>66675</xdr:colOff>
      <xdr:row>29</xdr:row>
      <xdr:rowOff>76201</xdr:rowOff>
    </xdr:from>
    <xdr:to>
      <xdr:col>12</xdr:col>
      <xdr:colOff>628650</xdr:colOff>
      <xdr:row>29</xdr:row>
      <xdr:rowOff>121920</xdr:rowOff>
    </xdr:to>
    <xdr:sp macro="" textlink="">
      <xdr:nvSpPr>
        <xdr:cNvPr id="12" name="Retângulo 11"/>
        <xdr:cNvSpPr/>
      </xdr:nvSpPr>
      <xdr:spPr>
        <a:xfrm>
          <a:off x="9820275" y="6877051"/>
          <a:ext cx="561975" cy="4571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381000</xdr:colOff>
      <xdr:row>23</xdr:row>
      <xdr:rowOff>59056</xdr:rowOff>
    </xdr:from>
    <xdr:to>
      <xdr:col>11</xdr:col>
      <xdr:colOff>9525</xdr:colOff>
      <xdr:row>23</xdr:row>
      <xdr:rowOff>104775</xdr:rowOff>
    </xdr:to>
    <xdr:sp macro="" textlink="">
      <xdr:nvSpPr>
        <xdr:cNvPr id="8" name="Retângulo 7"/>
        <xdr:cNvSpPr/>
      </xdr:nvSpPr>
      <xdr:spPr>
        <a:xfrm>
          <a:off x="5448300" y="6097906"/>
          <a:ext cx="3514725" cy="4571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10</xdr:col>
      <xdr:colOff>571500</xdr:colOff>
      <xdr:row>31</xdr:row>
      <xdr:rowOff>85725</xdr:rowOff>
    </xdr:from>
    <xdr:to>
      <xdr:col>12</xdr:col>
      <xdr:colOff>171450</xdr:colOff>
      <xdr:row>31</xdr:row>
      <xdr:rowOff>131444</xdr:rowOff>
    </xdr:to>
    <xdr:sp macro="" textlink="">
      <xdr:nvSpPr>
        <xdr:cNvPr id="23" name="Retângulo 22"/>
        <xdr:cNvSpPr/>
      </xdr:nvSpPr>
      <xdr:spPr>
        <a:xfrm>
          <a:off x="8724900" y="7267575"/>
          <a:ext cx="1200150" cy="4571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409575</xdr:colOff>
      <xdr:row>33</xdr:row>
      <xdr:rowOff>68581</xdr:rowOff>
    </xdr:from>
    <xdr:to>
      <xdr:col>11</xdr:col>
      <xdr:colOff>600074</xdr:colOff>
      <xdr:row>33</xdr:row>
      <xdr:rowOff>114300</xdr:rowOff>
    </xdr:to>
    <xdr:sp macro="" textlink="">
      <xdr:nvSpPr>
        <xdr:cNvPr id="24" name="Retângulo 23"/>
        <xdr:cNvSpPr/>
      </xdr:nvSpPr>
      <xdr:spPr>
        <a:xfrm>
          <a:off x="7724775" y="7602856"/>
          <a:ext cx="1828799" cy="4571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10</xdr:col>
      <xdr:colOff>266699</xdr:colOff>
      <xdr:row>35</xdr:row>
      <xdr:rowOff>78106</xdr:rowOff>
    </xdr:from>
    <xdr:to>
      <xdr:col>11</xdr:col>
      <xdr:colOff>638174</xdr:colOff>
      <xdr:row>35</xdr:row>
      <xdr:rowOff>123825</xdr:rowOff>
    </xdr:to>
    <xdr:sp macro="" textlink="">
      <xdr:nvSpPr>
        <xdr:cNvPr id="25" name="Retângulo 24"/>
        <xdr:cNvSpPr/>
      </xdr:nvSpPr>
      <xdr:spPr>
        <a:xfrm>
          <a:off x="8420099" y="7993381"/>
          <a:ext cx="1171575" cy="4571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10</xdr:col>
      <xdr:colOff>495300</xdr:colOff>
      <xdr:row>37</xdr:row>
      <xdr:rowOff>95250</xdr:rowOff>
    </xdr:from>
    <xdr:to>
      <xdr:col>11</xdr:col>
      <xdr:colOff>495300</xdr:colOff>
      <xdr:row>37</xdr:row>
      <xdr:rowOff>140969</xdr:rowOff>
    </xdr:to>
    <xdr:sp macro="" textlink="">
      <xdr:nvSpPr>
        <xdr:cNvPr id="26" name="Retângulo 25"/>
        <xdr:cNvSpPr/>
      </xdr:nvSpPr>
      <xdr:spPr>
        <a:xfrm>
          <a:off x="8648700" y="8391525"/>
          <a:ext cx="800100" cy="4571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66675</xdr:colOff>
      <xdr:row>39</xdr:row>
      <xdr:rowOff>95250</xdr:rowOff>
    </xdr:from>
    <xdr:to>
      <xdr:col>10</xdr:col>
      <xdr:colOff>419100</xdr:colOff>
      <xdr:row>39</xdr:row>
      <xdr:rowOff>140969</xdr:rowOff>
    </xdr:to>
    <xdr:sp macro="" textlink="">
      <xdr:nvSpPr>
        <xdr:cNvPr id="27" name="Retângulo 26"/>
        <xdr:cNvSpPr/>
      </xdr:nvSpPr>
      <xdr:spPr>
        <a:xfrm>
          <a:off x="10029825" y="8696325"/>
          <a:ext cx="2447925" cy="4571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733425</xdr:colOff>
      <xdr:row>41</xdr:row>
      <xdr:rowOff>107950</xdr:rowOff>
    </xdr:from>
    <xdr:to>
      <xdr:col>10</xdr:col>
      <xdr:colOff>107950</xdr:colOff>
      <xdr:row>41</xdr:row>
      <xdr:rowOff>155575</xdr:rowOff>
    </xdr:to>
    <xdr:sp macro="" textlink="">
      <xdr:nvSpPr>
        <xdr:cNvPr id="28" name="Retângulo 27"/>
        <xdr:cNvSpPr/>
      </xdr:nvSpPr>
      <xdr:spPr>
        <a:xfrm>
          <a:off x="10728325" y="10179050"/>
          <a:ext cx="1482725" cy="476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688974</xdr:colOff>
      <xdr:row>43</xdr:row>
      <xdr:rowOff>84456</xdr:rowOff>
    </xdr:from>
    <xdr:to>
      <xdr:col>11</xdr:col>
      <xdr:colOff>228599</xdr:colOff>
      <xdr:row>43</xdr:row>
      <xdr:rowOff>130175</xdr:rowOff>
    </xdr:to>
    <xdr:sp macro="" textlink="">
      <xdr:nvSpPr>
        <xdr:cNvPr id="29" name="Retângulo 28"/>
        <xdr:cNvSpPr/>
      </xdr:nvSpPr>
      <xdr:spPr>
        <a:xfrm>
          <a:off x="11737974" y="10663556"/>
          <a:ext cx="1647825" cy="4571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568324</xdr:colOff>
      <xdr:row>45</xdr:row>
      <xdr:rowOff>107950</xdr:rowOff>
    </xdr:from>
    <xdr:to>
      <xdr:col>12</xdr:col>
      <xdr:colOff>114299</xdr:colOff>
      <xdr:row>45</xdr:row>
      <xdr:rowOff>153669</xdr:rowOff>
    </xdr:to>
    <xdr:sp macro="" textlink="">
      <xdr:nvSpPr>
        <xdr:cNvPr id="30" name="Retângulo 29"/>
        <xdr:cNvSpPr/>
      </xdr:nvSpPr>
      <xdr:spPr>
        <a:xfrm>
          <a:off x="11617324" y="11195050"/>
          <a:ext cx="2708275" cy="4571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209550</xdr:colOff>
      <xdr:row>47</xdr:row>
      <xdr:rowOff>78106</xdr:rowOff>
    </xdr:from>
    <xdr:to>
      <xdr:col>12</xdr:col>
      <xdr:colOff>647700</xdr:colOff>
      <xdr:row>47</xdr:row>
      <xdr:rowOff>123825</xdr:rowOff>
    </xdr:to>
    <xdr:sp macro="" textlink="">
      <xdr:nvSpPr>
        <xdr:cNvPr id="31" name="Retângulo 30"/>
        <xdr:cNvSpPr/>
      </xdr:nvSpPr>
      <xdr:spPr>
        <a:xfrm>
          <a:off x="9963150" y="10279381"/>
          <a:ext cx="438150" cy="4571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139701</xdr:colOff>
      <xdr:row>27</xdr:row>
      <xdr:rowOff>152401</xdr:rowOff>
    </xdr:from>
    <xdr:to>
      <xdr:col>11</xdr:col>
      <xdr:colOff>0</xdr:colOff>
      <xdr:row>27</xdr:row>
      <xdr:rowOff>215901</xdr:rowOff>
    </xdr:to>
    <xdr:sp macro="" textlink="">
      <xdr:nvSpPr>
        <xdr:cNvPr id="20" name="Retângulo 19"/>
        <xdr:cNvSpPr/>
      </xdr:nvSpPr>
      <xdr:spPr>
        <a:xfrm>
          <a:off x="10134601" y="6413501"/>
          <a:ext cx="3022599" cy="635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81"/>
  <sheetViews>
    <sheetView workbookViewId="0">
      <selection activeCell="L10" sqref="L10"/>
    </sheetView>
  </sheetViews>
  <sheetFormatPr defaultRowHeight="15" x14ac:dyDescent="0.25"/>
  <cols>
    <col min="1" max="1" width="4.5703125" style="121" customWidth="1"/>
    <col min="2" max="2" width="7" style="82" customWidth="1"/>
    <col min="3" max="6" width="9.140625" style="121"/>
    <col min="7" max="7" width="9.42578125" style="121" customWidth="1"/>
    <col min="8" max="8" width="10" style="122" bestFit="1" customWidth="1"/>
    <col min="9" max="9" width="9.140625" style="121"/>
    <col min="10" max="10" width="11.140625" style="83" bestFit="1" customWidth="1"/>
    <col min="11" max="11" width="9.140625" style="122"/>
    <col min="12" max="16384" width="9.140625" style="121"/>
  </cols>
  <sheetData>
    <row r="2" spans="2:11" s="84" customFormat="1" ht="15" customHeight="1" x14ac:dyDescent="0.25">
      <c r="B2" s="82"/>
      <c r="C2" s="1"/>
      <c r="D2" s="1"/>
      <c r="E2" s="1"/>
      <c r="F2" s="1"/>
      <c r="G2" s="1"/>
      <c r="H2" s="1"/>
      <c r="I2" s="1"/>
      <c r="J2" s="83"/>
    </row>
    <row r="3" spans="2:11" s="84" customFormat="1" ht="15" customHeight="1" x14ac:dyDescent="0.25">
      <c r="B3" s="82"/>
      <c r="C3" s="85"/>
      <c r="D3" s="86"/>
      <c r="E3" s="638" t="s">
        <v>12</v>
      </c>
      <c r="F3" s="639"/>
      <c r="G3" s="639"/>
      <c r="H3" s="639"/>
      <c r="I3" s="255" t="s">
        <v>82</v>
      </c>
      <c r="J3" s="212" t="s">
        <v>84</v>
      </c>
      <c r="K3" s="256" t="s">
        <v>83</v>
      </c>
    </row>
    <row r="4" spans="2:11" s="84" customFormat="1" ht="15" customHeight="1" x14ac:dyDescent="0.25">
      <c r="B4" s="82"/>
      <c r="C4" s="87"/>
      <c r="D4" s="88"/>
      <c r="E4" s="640" t="s">
        <v>8</v>
      </c>
      <c r="F4" s="641"/>
      <c r="G4" s="641"/>
      <c r="H4" s="641"/>
      <c r="I4" s="465" t="s">
        <v>1183</v>
      </c>
      <c r="J4" s="212" t="s">
        <v>150</v>
      </c>
      <c r="K4" s="257" t="s">
        <v>1182</v>
      </c>
    </row>
    <row r="5" spans="2:11" s="84" customFormat="1" ht="15" customHeight="1" x14ac:dyDescent="0.25">
      <c r="B5" s="82"/>
      <c r="C5" s="87"/>
      <c r="D5" s="88"/>
      <c r="E5" s="640" t="s">
        <v>9</v>
      </c>
      <c r="F5" s="641"/>
      <c r="G5" s="641"/>
      <c r="H5" s="641"/>
      <c r="I5" s="464"/>
      <c r="J5" s="642"/>
      <c r="K5" s="643"/>
    </row>
    <row r="6" spans="2:11" s="84" customFormat="1" ht="15" customHeight="1" x14ac:dyDescent="0.25">
      <c r="B6" s="82"/>
      <c r="C6" s="87"/>
      <c r="D6" s="88"/>
      <c r="E6" s="650" t="s">
        <v>148</v>
      </c>
      <c r="F6" s="651"/>
      <c r="G6" s="651"/>
      <c r="H6" s="651"/>
      <c r="I6" s="651"/>
      <c r="J6" s="651"/>
      <c r="K6" s="652"/>
    </row>
    <row r="7" spans="2:11" s="84" customFormat="1" ht="15" customHeight="1" x14ac:dyDescent="0.25">
      <c r="B7" s="82"/>
      <c r="C7" s="87"/>
      <c r="D7" s="88"/>
      <c r="E7" s="650" t="s">
        <v>149</v>
      </c>
      <c r="F7" s="641"/>
      <c r="G7" s="641"/>
      <c r="H7" s="641"/>
      <c r="I7" s="641"/>
      <c r="J7" s="641"/>
      <c r="K7" s="653"/>
    </row>
    <row r="8" spans="2:11" s="84" customFormat="1" ht="15" customHeight="1" x14ac:dyDescent="0.25">
      <c r="B8" s="82"/>
      <c r="C8" s="87"/>
      <c r="D8" s="88"/>
      <c r="E8" s="654"/>
      <c r="F8" s="641"/>
      <c r="G8" s="641"/>
      <c r="H8" s="641"/>
      <c r="I8" s="641"/>
      <c r="J8" s="641"/>
      <c r="K8" s="89"/>
    </row>
    <row r="9" spans="2:11" s="84" customFormat="1" ht="39" customHeight="1" x14ac:dyDescent="0.25">
      <c r="B9" s="82"/>
      <c r="C9" s="87"/>
      <c r="D9" s="88"/>
      <c r="E9" s="655" t="s">
        <v>528</v>
      </c>
      <c r="F9" s="656"/>
      <c r="G9" s="656"/>
      <c r="H9" s="656"/>
      <c r="I9" s="656"/>
      <c r="J9" s="656"/>
      <c r="K9" s="657"/>
    </row>
    <row r="10" spans="2:11" s="84" customFormat="1" ht="20.100000000000001" customHeight="1" x14ac:dyDescent="0.25">
      <c r="B10" s="82"/>
      <c r="C10" s="658" t="s">
        <v>320</v>
      </c>
      <c r="D10" s="659"/>
      <c r="E10" s="659"/>
      <c r="F10" s="659"/>
      <c r="G10" s="659"/>
      <c r="H10" s="659"/>
      <c r="I10" s="659"/>
      <c r="J10" s="659"/>
      <c r="K10" s="90"/>
    </row>
    <row r="11" spans="2:11" s="84" customFormat="1" ht="15" customHeight="1" x14ac:dyDescent="0.25">
      <c r="B11" s="82"/>
      <c r="C11" s="91"/>
      <c r="D11" s="92"/>
      <c r="E11" s="92"/>
      <c r="F11" s="92"/>
      <c r="G11" s="92"/>
      <c r="H11" s="92"/>
      <c r="I11" s="92"/>
      <c r="J11" s="92"/>
    </row>
    <row r="12" spans="2:11" s="84" customFormat="1" ht="15" customHeight="1" x14ac:dyDescent="0.25">
      <c r="B12" s="82"/>
      <c r="C12" s="93" t="s">
        <v>321</v>
      </c>
      <c r="D12" s="93"/>
      <c r="E12" s="93"/>
      <c r="F12" s="215"/>
      <c r="G12" s="215"/>
      <c r="H12" s="94"/>
      <c r="I12" s="94">
        <v>4</v>
      </c>
      <c r="J12" s="95" t="s">
        <v>322</v>
      </c>
    </row>
    <row r="13" spans="2:11" s="84" customFormat="1" ht="15" customHeight="1" x14ac:dyDescent="0.25">
      <c r="B13" s="82"/>
      <c r="C13" s="627" t="s">
        <v>323</v>
      </c>
      <c r="D13" s="627"/>
      <c r="E13" s="627"/>
      <c r="F13" s="627"/>
      <c r="G13" s="627"/>
      <c r="H13" s="94"/>
      <c r="I13" s="94">
        <v>9.9</v>
      </c>
      <c r="J13" s="95" t="s">
        <v>324</v>
      </c>
    </row>
    <row r="14" spans="2:11" s="84" customFormat="1" ht="15" customHeight="1" x14ac:dyDescent="0.25">
      <c r="B14" s="82"/>
      <c r="C14" s="627" t="s">
        <v>325</v>
      </c>
      <c r="D14" s="627"/>
      <c r="E14" s="627"/>
      <c r="F14" s="627"/>
      <c r="G14" s="627"/>
      <c r="H14" s="94"/>
      <c r="I14" s="94">
        <v>5.8</v>
      </c>
      <c r="J14" s="95" t="s">
        <v>324</v>
      </c>
    </row>
    <row r="15" spans="2:11" s="84" customFormat="1" ht="15" customHeight="1" x14ac:dyDescent="0.25">
      <c r="B15" s="82"/>
      <c r="C15" s="215"/>
      <c r="D15" s="215"/>
      <c r="E15" s="215"/>
      <c r="F15" s="215"/>
      <c r="G15" s="215"/>
      <c r="H15" s="94"/>
      <c r="I15" s="94"/>
      <c r="J15" s="95"/>
    </row>
    <row r="16" spans="2:11" s="84" customFormat="1" ht="15" customHeight="1" thickBot="1" x14ac:dyDescent="0.3">
      <c r="B16" s="82" t="s">
        <v>0</v>
      </c>
      <c r="C16" s="96"/>
      <c r="D16" s="97"/>
      <c r="E16" s="97"/>
      <c r="F16" s="97"/>
      <c r="G16" s="98"/>
      <c r="H16" s="97"/>
      <c r="I16" s="97"/>
      <c r="J16" s="99"/>
      <c r="K16" s="97"/>
    </row>
    <row r="17" spans="2:11" s="84" customFormat="1" ht="15" customHeight="1" thickBot="1" x14ac:dyDescent="0.3">
      <c r="B17" s="82"/>
      <c r="C17" s="100" t="s">
        <v>89</v>
      </c>
      <c r="D17" s="101" t="s">
        <v>326</v>
      </c>
      <c r="E17" s="101"/>
      <c r="F17" s="101"/>
      <c r="G17" s="102"/>
      <c r="H17" s="103"/>
      <c r="I17" s="103"/>
      <c r="J17" s="104"/>
      <c r="K17" s="105"/>
    </row>
    <row r="18" spans="2:11" s="84" customFormat="1" ht="15" customHeight="1" x14ac:dyDescent="0.25">
      <c r="B18" s="82" t="s">
        <v>90</v>
      </c>
      <c r="C18" s="106" t="s">
        <v>90</v>
      </c>
      <c r="D18" s="107" t="s">
        <v>327</v>
      </c>
      <c r="E18" s="108"/>
      <c r="F18" s="108"/>
      <c r="G18" s="109"/>
      <c r="H18" s="107"/>
      <c r="I18" s="107"/>
      <c r="J18" s="110">
        <v>12</v>
      </c>
      <c r="K18" s="111" t="s">
        <v>328</v>
      </c>
    </row>
    <row r="19" spans="2:11" s="84" customFormat="1" ht="15" customHeight="1" x14ac:dyDescent="0.25">
      <c r="B19" s="82"/>
      <c r="C19" s="112" t="s">
        <v>91</v>
      </c>
      <c r="D19" s="627" t="s">
        <v>329</v>
      </c>
      <c r="E19" s="627"/>
      <c r="F19" s="627"/>
      <c r="G19" s="627"/>
      <c r="H19" s="627"/>
      <c r="I19" s="627"/>
      <c r="J19" s="110" t="s">
        <v>989</v>
      </c>
      <c r="K19" s="113"/>
    </row>
    <row r="20" spans="2:11" s="84" customFormat="1" ht="15" customHeight="1" x14ac:dyDescent="0.25">
      <c r="B20" s="82"/>
      <c r="C20" s="106" t="s">
        <v>92</v>
      </c>
      <c r="D20" s="107" t="s">
        <v>331</v>
      </c>
      <c r="E20" s="107"/>
      <c r="F20" s="107"/>
      <c r="G20" s="109"/>
      <c r="H20" s="107"/>
      <c r="I20" s="107"/>
      <c r="J20" s="110"/>
      <c r="K20" s="113" t="s">
        <v>330</v>
      </c>
    </row>
    <row r="21" spans="2:11" s="84" customFormat="1" ht="15" customHeight="1" x14ac:dyDescent="0.25">
      <c r="B21" s="82"/>
      <c r="C21" s="106" t="s">
        <v>93</v>
      </c>
      <c r="D21" s="107" t="s">
        <v>332</v>
      </c>
      <c r="E21" s="107"/>
      <c r="F21" s="107"/>
      <c r="G21" s="109"/>
      <c r="H21" s="107"/>
      <c r="I21" s="107"/>
      <c r="J21" s="110"/>
      <c r="K21" s="113" t="s">
        <v>330</v>
      </c>
    </row>
    <row r="22" spans="2:11" s="84" customFormat="1" ht="15" customHeight="1" x14ac:dyDescent="0.25">
      <c r="B22" s="82"/>
      <c r="C22" s="106" t="s">
        <v>94</v>
      </c>
      <c r="D22" s="107" t="s">
        <v>333</v>
      </c>
      <c r="E22" s="107"/>
      <c r="F22" s="107"/>
      <c r="G22" s="109"/>
      <c r="H22" s="107"/>
      <c r="I22" s="107"/>
      <c r="J22" s="110"/>
      <c r="K22" s="113" t="s">
        <v>330</v>
      </c>
    </row>
    <row r="23" spans="2:11" s="84" customFormat="1" ht="15" customHeight="1" x14ac:dyDescent="0.25">
      <c r="B23" s="82"/>
      <c r="C23" s="106" t="s">
        <v>334</v>
      </c>
      <c r="D23" s="107" t="s">
        <v>335</v>
      </c>
      <c r="E23" s="107"/>
      <c r="F23" s="107"/>
      <c r="G23" s="109"/>
      <c r="H23" s="107"/>
      <c r="I23" s="107"/>
      <c r="J23" s="110">
        <v>1</v>
      </c>
      <c r="K23" s="114" t="s">
        <v>397</v>
      </c>
    </row>
    <row r="24" spans="2:11" s="84" customFormat="1" ht="15" customHeight="1" x14ac:dyDescent="0.25">
      <c r="B24" s="82"/>
      <c r="C24" s="106" t="s">
        <v>336</v>
      </c>
      <c r="D24" s="107" t="s">
        <v>337</v>
      </c>
      <c r="E24" s="107"/>
      <c r="F24" s="107"/>
      <c r="G24" s="109"/>
      <c r="H24" s="107"/>
      <c r="I24" s="107"/>
      <c r="J24" s="110"/>
      <c r="K24" s="114" t="s">
        <v>330</v>
      </c>
    </row>
    <row r="25" spans="2:11" s="84" customFormat="1" ht="15" customHeight="1" x14ac:dyDescent="0.25">
      <c r="B25" s="82"/>
      <c r="C25" s="106" t="s">
        <v>338</v>
      </c>
      <c r="D25" s="107" t="s">
        <v>339</v>
      </c>
      <c r="E25" s="107"/>
      <c r="F25" s="107"/>
      <c r="G25" s="109"/>
      <c r="H25" s="107"/>
      <c r="I25" s="107"/>
      <c r="J25" s="110"/>
      <c r="K25" s="114" t="s">
        <v>330</v>
      </c>
    </row>
    <row r="26" spans="2:11" s="84" customFormat="1" ht="15" customHeight="1" x14ac:dyDescent="0.25">
      <c r="B26" s="82"/>
      <c r="C26" s="106" t="s">
        <v>340</v>
      </c>
      <c r="D26" s="107" t="s">
        <v>341</v>
      </c>
      <c r="E26" s="107"/>
      <c r="F26" s="107"/>
      <c r="G26" s="109"/>
      <c r="H26" s="107"/>
      <c r="I26" s="107"/>
      <c r="J26" s="110"/>
      <c r="K26" s="114" t="s">
        <v>330</v>
      </c>
    </row>
    <row r="27" spans="2:11" s="84" customFormat="1" ht="15" customHeight="1" thickBot="1" x14ac:dyDescent="0.3">
      <c r="B27" s="82"/>
      <c r="C27" s="115" t="s">
        <v>342</v>
      </c>
      <c r="D27" s="116"/>
      <c r="E27" s="117"/>
      <c r="F27" s="117"/>
      <c r="G27" s="117"/>
      <c r="H27" s="118"/>
      <c r="I27" s="118"/>
      <c r="J27" s="119"/>
      <c r="K27" s="120"/>
    </row>
    <row r="28" spans="2:11" s="84" customFormat="1" ht="15" customHeight="1" x14ac:dyDescent="0.25">
      <c r="B28" s="82"/>
      <c r="C28" s="215"/>
      <c r="D28" s="215"/>
      <c r="E28" s="215"/>
      <c r="F28" s="215"/>
      <c r="G28" s="215"/>
      <c r="H28" s="94"/>
      <c r="I28" s="94"/>
      <c r="J28" s="95"/>
    </row>
    <row r="29" spans="2:11" s="84" customFormat="1" ht="15" customHeight="1" x14ac:dyDescent="0.25">
      <c r="B29" s="82"/>
      <c r="C29" s="240"/>
      <c r="D29" s="630" t="s">
        <v>395</v>
      </c>
      <c r="E29" s="631"/>
      <c r="F29" s="631"/>
      <c r="G29" s="631"/>
      <c r="H29" s="631"/>
      <c r="I29" s="631"/>
      <c r="J29" s="631"/>
      <c r="K29" s="631"/>
    </row>
    <row r="30" spans="2:11" s="84" customFormat="1" ht="15" customHeight="1" x14ac:dyDescent="0.25">
      <c r="B30" s="82"/>
      <c r="C30" s="215"/>
      <c r="D30" s="627" t="s">
        <v>505</v>
      </c>
      <c r="E30" s="633"/>
      <c r="F30" s="633"/>
      <c r="G30" s="633"/>
      <c r="H30" s="94">
        <v>183.98</v>
      </c>
      <c r="I30" s="94">
        <v>0.04</v>
      </c>
      <c r="J30" s="95">
        <v>1.3</v>
      </c>
      <c r="K30" s="84">
        <f>H30*I30*J30</f>
        <v>9.5669599999999999</v>
      </c>
    </row>
    <row r="31" spans="2:11" s="84" customFormat="1" ht="15" customHeight="1" x14ac:dyDescent="0.25">
      <c r="B31" s="82"/>
      <c r="C31" s="215"/>
      <c r="D31" s="627" t="s">
        <v>504</v>
      </c>
      <c r="E31" s="633"/>
      <c r="F31" s="633"/>
      <c r="G31" s="633"/>
      <c r="H31" s="94">
        <v>257.76</v>
      </c>
      <c r="I31" s="94">
        <v>0.02</v>
      </c>
      <c r="J31" s="95">
        <v>1.3</v>
      </c>
      <c r="K31" s="84">
        <f t="shared" ref="K31:K33" si="0">H31*I31*J31</f>
        <v>6.7017600000000002</v>
      </c>
    </row>
    <row r="32" spans="2:11" s="84" customFormat="1" ht="15" customHeight="1" x14ac:dyDescent="0.25">
      <c r="B32" s="82"/>
      <c r="C32" s="215"/>
      <c r="D32" s="627" t="s">
        <v>506</v>
      </c>
      <c r="E32" s="633"/>
      <c r="F32" s="633"/>
      <c r="G32" s="633"/>
      <c r="H32" s="94">
        <v>16.48</v>
      </c>
      <c r="I32" s="94"/>
      <c r="J32" s="95">
        <v>1.3</v>
      </c>
      <c r="K32" s="84">
        <f>H32*J32</f>
        <v>21.424000000000003</v>
      </c>
    </row>
    <row r="33" spans="2:11" s="84" customFormat="1" ht="15" customHeight="1" x14ac:dyDescent="0.25">
      <c r="B33" s="82"/>
      <c r="C33" s="215"/>
      <c r="D33" s="627" t="s">
        <v>507</v>
      </c>
      <c r="E33" s="633"/>
      <c r="F33" s="633"/>
      <c r="G33" s="633"/>
      <c r="H33" s="94">
        <v>172.94</v>
      </c>
      <c r="I33" s="94">
        <v>0.02</v>
      </c>
      <c r="J33" s="95">
        <v>1.3</v>
      </c>
      <c r="K33" s="84">
        <f t="shared" si="0"/>
        <v>4.4964400000000007</v>
      </c>
    </row>
    <row r="34" spans="2:11" s="84" customFormat="1" ht="15" customHeight="1" x14ac:dyDescent="0.25">
      <c r="B34" s="82"/>
      <c r="C34" s="215"/>
      <c r="D34" s="215"/>
      <c r="E34" s="215"/>
      <c r="F34" s="215"/>
      <c r="G34" s="215"/>
      <c r="H34" s="94"/>
      <c r="I34" s="95" t="s">
        <v>508</v>
      </c>
      <c r="K34" s="84">
        <f>SUM(K30:K33)</f>
        <v>42.189160000000008</v>
      </c>
    </row>
    <row r="35" spans="2:11" s="84" customFormat="1" ht="15" customHeight="1" x14ac:dyDescent="0.25">
      <c r="B35" s="82"/>
      <c r="C35" s="215"/>
      <c r="D35" s="215"/>
      <c r="E35" s="215"/>
      <c r="F35" s="215"/>
      <c r="G35" s="215"/>
      <c r="H35" s="94"/>
      <c r="I35" s="95"/>
    </row>
    <row r="36" spans="2:11" s="84" customFormat="1" ht="15" customHeight="1" x14ac:dyDescent="0.25">
      <c r="B36" s="82"/>
      <c r="C36" s="215"/>
      <c r="D36" s="627" t="s">
        <v>537</v>
      </c>
      <c r="E36" s="633"/>
      <c r="F36" s="633"/>
      <c r="G36" s="633"/>
      <c r="H36" s="94">
        <f>K34</f>
        <v>42.189160000000008</v>
      </c>
      <c r="I36" s="94">
        <v>5</v>
      </c>
      <c r="J36" s="95">
        <f>H36/I36</f>
        <v>8.437832000000002</v>
      </c>
      <c r="K36" s="84" t="s">
        <v>397</v>
      </c>
    </row>
    <row r="37" spans="2:11" s="84" customFormat="1" ht="15" customHeight="1" x14ac:dyDescent="0.25">
      <c r="B37" s="82"/>
      <c r="C37" s="215"/>
      <c r="D37" s="627"/>
      <c r="E37" s="633"/>
      <c r="F37" s="633"/>
      <c r="G37" s="633"/>
      <c r="H37" s="94"/>
      <c r="I37" s="94"/>
      <c r="J37" s="95"/>
      <c r="K37" s="223"/>
    </row>
    <row r="38" spans="2:11" s="84" customFormat="1" ht="15" customHeight="1" x14ac:dyDescent="0.25">
      <c r="B38" s="82"/>
      <c r="C38" s="215"/>
      <c r="D38" s="215"/>
      <c r="E38" s="215"/>
      <c r="F38" s="215"/>
      <c r="G38" s="215"/>
      <c r="H38" s="94"/>
      <c r="I38" s="94"/>
      <c r="J38" s="95"/>
    </row>
    <row r="39" spans="2:11" s="84" customFormat="1" ht="15" customHeight="1" x14ac:dyDescent="0.25">
      <c r="B39" s="82"/>
      <c r="C39" s="215"/>
      <c r="D39" s="632" t="s">
        <v>396</v>
      </c>
      <c r="E39" s="631"/>
      <c r="F39" s="631"/>
      <c r="G39" s="631"/>
      <c r="H39" s="631"/>
      <c r="I39" s="631"/>
      <c r="J39" s="631"/>
      <c r="K39" s="631"/>
    </row>
    <row r="40" spans="2:11" s="84" customFormat="1" ht="15" customHeight="1" x14ac:dyDescent="0.25">
      <c r="B40" s="82"/>
      <c r="C40" s="215"/>
      <c r="D40" s="215"/>
      <c r="E40" s="215"/>
      <c r="F40" s="215"/>
      <c r="G40" s="215"/>
      <c r="H40" s="94"/>
      <c r="I40" s="94"/>
      <c r="J40" s="95"/>
    </row>
    <row r="41" spans="2:11" s="84" customFormat="1" ht="15" customHeight="1" x14ac:dyDescent="0.25">
      <c r="B41" s="82"/>
      <c r="C41" s="215"/>
      <c r="D41" s="627" t="s">
        <v>509</v>
      </c>
      <c r="E41" s="633"/>
      <c r="F41" s="633"/>
      <c r="G41" s="633"/>
      <c r="H41" s="633"/>
      <c r="I41" s="633"/>
      <c r="J41" s="633"/>
      <c r="K41" s="633"/>
    </row>
    <row r="42" spans="2:11" s="84" customFormat="1" ht="15" customHeight="1" x14ac:dyDescent="0.25">
      <c r="B42" s="82"/>
      <c r="C42" s="215"/>
      <c r="D42" s="215"/>
      <c r="E42" s="215"/>
      <c r="F42" s="215"/>
      <c r="G42" s="215"/>
      <c r="H42" s="94"/>
      <c r="I42" s="94"/>
      <c r="J42" s="95"/>
    </row>
    <row r="43" spans="2:11" s="84" customFormat="1" ht="15" customHeight="1" x14ac:dyDescent="0.25">
      <c r="B43" s="82"/>
      <c r="C43" s="215"/>
      <c r="D43" s="221" t="s">
        <v>493</v>
      </c>
      <c r="E43" s="629" t="s">
        <v>510</v>
      </c>
      <c r="F43" s="634"/>
      <c r="G43" s="634"/>
      <c r="H43" s="634"/>
      <c r="I43" s="222" t="s">
        <v>19</v>
      </c>
      <c r="J43" s="95">
        <v>18</v>
      </c>
    </row>
    <row r="44" spans="2:11" s="84" customFormat="1" ht="15" customHeight="1" x14ac:dyDescent="0.25">
      <c r="B44" s="82"/>
      <c r="C44" s="215"/>
      <c r="D44" s="221" t="s">
        <v>494</v>
      </c>
      <c r="E44" s="629" t="s">
        <v>511</v>
      </c>
      <c r="F44" s="634"/>
      <c r="G44" s="634"/>
      <c r="H44" s="634"/>
      <c r="I44" s="222" t="s">
        <v>21</v>
      </c>
      <c r="J44" s="95"/>
    </row>
    <row r="45" spans="2:11" s="84" customFormat="1" ht="15" customHeight="1" x14ac:dyDescent="0.25">
      <c r="B45" s="82"/>
      <c r="C45" s="215"/>
      <c r="D45" s="221"/>
      <c r="E45" s="217"/>
      <c r="F45" s="635" t="s">
        <v>513</v>
      </c>
      <c r="G45" s="634"/>
      <c r="H45" s="214"/>
      <c r="I45" s="222"/>
      <c r="J45" s="95">
        <v>104.4</v>
      </c>
    </row>
    <row r="46" spans="2:11" s="84" customFormat="1" ht="50.25" customHeight="1" x14ac:dyDescent="0.25">
      <c r="B46" s="82"/>
      <c r="C46" s="215"/>
      <c r="D46" s="254" t="s">
        <v>495</v>
      </c>
      <c r="E46" s="629" t="s">
        <v>512</v>
      </c>
      <c r="F46" s="634"/>
      <c r="G46" s="634"/>
      <c r="H46" s="634"/>
      <c r="I46" s="222" t="s">
        <v>19</v>
      </c>
      <c r="J46" s="95">
        <v>18</v>
      </c>
    </row>
    <row r="47" spans="2:11" s="84" customFormat="1" ht="15" customHeight="1" x14ac:dyDescent="0.25">
      <c r="B47" s="82"/>
      <c r="C47" s="215"/>
      <c r="D47" s="215"/>
      <c r="E47" s="215"/>
      <c r="F47" s="215"/>
      <c r="G47" s="215"/>
      <c r="H47" s="94"/>
      <c r="I47" s="94"/>
      <c r="J47" s="95"/>
    </row>
    <row r="48" spans="2:11" ht="15.75" thickBot="1" x14ac:dyDescent="0.3">
      <c r="C48" s="240"/>
      <c r="D48" s="220"/>
      <c r="E48" s="220"/>
      <c r="F48" s="220"/>
      <c r="G48" s="220"/>
      <c r="H48" s="220"/>
      <c r="I48" s="220"/>
      <c r="J48" s="220"/>
    </row>
    <row r="49" spans="3:11" x14ac:dyDescent="0.25">
      <c r="C49" s="241" t="s">
        <v>66</v>
      </c>
      <c r="D49" s="126"/>
      <c r="E49" s="126"/>
      <c r="F49" s="126"/>
      <c r="G49" s="126"/>
      <c r="H49" s="127"/>
      <c r="I49" s="126"/>
      <c r="J49" s="137" t="s">
        <v>990</v>
      </c>
      <c r="K49" s="139"/>
    </row>
    <row r="50" spans="3:11" x14ac:dyDescent="0.25">
      <c r="C50" s="128" t="s">
        <v>502</v>
      </c>
      <c r="D50" s="123"/>
      <c r="E50" s="123"/>
      <c r="F50" s="123"/>
      <c r="G50" s="123"/>
      <c r="H50" s="124"/>
      <c r="I50" s="123"/>
      <c r="J50" s="84"/>
      <c r="K50" s="140"/>
    </row>
    <row r="51" spans="3:11" hidden="1" x14ac:dyDescent="0.25">
      <c r="C51" s="662" t="s">
        <v>343</v>
      </c>
      <c r="D51" s="625"/>
      <c r="E51" s="625"/>
      <c r="F51" s="625"/>
      <c r="G51" s="625"/>
      <c r="H51" s="625"/>
      <c r="I51" s="625"/>
      <c r="J51" s="625"/>
      <c r="K51" s="140"/>
    </row>
    <row r="52" spans="3:11" hidden="1" x14ac:dyDescent="0.25">
      <c r="C52" s="128"/>
      <c r="D52" s="123"/>
      <c r="E52" s="123"/>
      <c r="F52" s="123"/>
      <c r="G52" s="123"/>
      <c r="H52" s="124"/>
      <c r="I52" s="123"/>
      <c r="J52" s="84"/>
      <c r="K52" s="140"/>
    </row>
    <row r="53" spans="3:11" hidden="1" x14ac:dyDescent="0.25">
      <c r="C53" s="128"/>
      <c r="D53" s="123"/>
      <c r="E53" s="123"/>
      <c r="F53" s="123"/>
      <c r="G53" s="123"/>
      <c r="H53" s="124"/>
      <c r="I53" s="123"/>
      <c r="J53" s="84"/>
      <c r="K53" s="140"/>
    </row>
    <row r="54" spans="3:11" hidden="1" x14ac:dyDescent="0.25">
      <c r="C54" s="128"/>
      <c r="D54" s="123"/>
      <c r="E54" s="123"/>
      <c r="F54" s="123"/>
      <c r="G54" s="123"/>
      <c r="H54" s="124"/>
      <c r="I54" s="123"/>
      <c r="J54" s="84"/>
      <c r="K54" s="140"/>
    </row>
    <row r="55" spans="3:11" x14ac:dyDescent="0.25">
      <c r="C55" s="128"/>
      <c r="D55" s="123" t="s">
        <v>348</v>
      </c>
      <c r="E55" s="123"/>
      <c r="F55" s="123"/>
      <c r="G55" s="123"/>
      <c r="H55" s="124"/>
      <c r="I55" s="123"/>
      <c r="J55" s="84"/>
      <c r="K55" s="140"/>
    </row>
    <row r="56" spans="3:11" x14ac:dyDescent="0.25">
      <c r="C56" s="128"/>
      <c r="D56" s="123" t="s">
        <v>347</v>
      </c>
      <c r="E56" s="123"/>
      <c r="F56" s="123"/>
      <c r="G56" s="123"/>
      <c r="H56" s="124"/>
      <c r="I56" s="123"/>
      <c r="J56" s="84"/>
      <c r="K56" s="140"/>
    </row>
    <row r="57" spans="3:11" x14ac:dyDescent="0.25">
      <c r="C57" s="128"/>
      <c r="D57" s="123" t="s">
        <v>351</v>
      </c>
      <c r="E57" s="123"/>
      <c r="F57" s="123"/>
      <c r="G57" s="123"/>
      <c r="H57" s="124"/>
      <c r="I57" s="123"/>
      <c r="J57" s="84"/>
      <c r="K57" s="140"/>
    </row>
    <row r="58" spans="3:11" x14ac:dyDescent="0.25">
      <c r="C58" s="128"/>
      <c r="D58" s="123"/>
      <c r="E58" s="123" t="s">
        <v>349</v>
      </c>
      <c r="F58" s="123"/>
      <c r="G58" s="123"/>
      <c r="H58" s="124"/>
      <c r="I58" s="123"/>
      <c r="J58" s="84"/>
      <c r="K58" s="140"/>
    </row>
    <row r="59" spans="3:11" x14ac:dyDescent="0.25">
      <c r="C59" s="128"/>
      <c r="D59" s="123"/>
      <c r="E59" s="123" t="s">
        <v>350</v>
      </c>
      <c r="F59" s="123"/>
      <c r="G59" s="123"/>
      <c r="H59" s="124"/>
      <c r="I59" s="123"/>
      <c r="J59" s="84"/>
      <c r="K59" s="140"/>
    </row>
    <row r="60" spans="3:11" x14ac:dyDescent="0.25">
      <c r="C60" s="170"/>
      <c r="D60" s="171"/>
      <c r="E60" s="171"/>
      <c r="F60" s="171"/>
      <c r="G60" s="171"/>
      <c r="H60" s="172"/>
      <c r="I60" s="171"/>
      <c r="J60" s="151"/>
      <c r="K60" s="173"/>
    </row>
    <row r="61" spans="3:11" x14ac:dyDescent="0.25">
      <c r="C61" s="128" t="s">
        <v>353</v>
      </c>
      <c r="D61" s="123"/>
      <c r="E61" s="123"/>
      <c r="F61" s="123"/>
      <c r="G61" s="123"/>
      <c r="H61" s="124"/>
      <c r="I61" s="123"/>
      <c r="J61" s="84"/>
      <c r="K61" s="140"/>
    </row>
    <row r="62" spans="3:11" x14ac:dyDescent="0.25">
      <c r="C62" s="128"/>
      <c r="D62" s="123" t="s">
        <v>352</v>
      </c>
      <c r="E62" s="123"/>
      <c r="F62" s="123"/>
      <c r="G62" s="125">
        <v>9</v>
      </c>
      <c r="H62" s="125">
        <v>0.1</v>
      </c>
      <c r="I62" s="125">
        <v>0.1</v>
      </c>
      <c r="J62" s="125">
        <f>G62*H62*I62</f>
        <v>9.0000000000000011E-2</v>
      </c>
      <c r="K62" s="140" t="s">
        <v>346</v>
      </c>
    </row>
    <row r="63" spans="3:11" x14ac:dyDescent="0.25">
      <c r="C63" s="128"/>
      <c r="D63" s="123" t="s">
        <v>354</v>
      </c>
      <c r="E63" s="123"/>
      <c r="F63" s="123"/>
      <c r="G63" s="125">
        <v>9</v>
      </c>
      <c r="H63" s="125">
        <v>0.1</v>
      </c>
      <c r="I63" s="125">
        <v>0.2</v>
      </c>
      <c r="J63" s="125">
        <f>G63*H63*I63</f>
        <v>0.18000000000000002</v>
      </c>
      <c r="K63" s="140" t="s">
        <v>346</v>
      </c>
    </row>
    <row r="64" spans="3:11" x14ac:dyDescent="0.25">
      <c r="C64" s="128"/>
      <c r="D64" s="123"/>
      <c r="E64" s="123"/>
      <c r="F64" s="123"/>
      <c r="G64" s="125"/>
      <c r="H64" s="125"/>
      <c r="I64" s="125"/>
      <c r="J64" s="125"/>
      <c r="K64" s="140"/>
    </row>
    <row r="65" spans="3:11" x14ac:dyDescent="0.25">
      <c r="C65" s="128"/>
      <c r="D65" s="123" t="s">
        <v>360</v>
      </c>
      <c r="E65" s="123"/>
      <c r="F65" s="123"/>
      <c r="G65" s="125"/>
      <c r="H65" s="124"/>
      <c r="I65" s="132"/>
      <c r="J65" s="125">
        <f>J62</f>
        <v>9.0000000000000011E-2</v>
      </c>
      <c r="K65" s="140" t="s">
        <v>346</v>
      </c>
    </row>
    <row r="66" spans="3:11" x14ac:dyDescent="0.25">
      <c r="C66" s="128"/>
      <c r="D66" s="123" t="s">
        <v>358</v>
      </c>
      <c r="E66" s="123"/>
      <c r="F66" s="123"/>
      <c r="G66" s="125">
        <f>J63</f>
        <v>0.18000000000000002</v>
      </c>
      <c r="H66" s="124" t="s">
        <v>359</v>
      </c>
      <c r="I66" s="132">
        <v>2.8270000000000001E-3</v>
      </c>
      <c r="J66" s="125">
        <f>G66-I66</f>
        <v>0.17717300000000002</v>
      </c>
      <c r="K66" s="140" t="s">
        <v>346</v>
      </c>
    </row>
    <row r="67" spans="3:11" x14ac:dyDescent="0.25">
      <c r="C67" s="128"/>
      <c r="D67" s="123"/>
      <c r="E67" s="123"/>
      <c r="F67" s="123"/>
      <c r="G67" s="125"/>
      <c r="H67" s="132"/>
      <c r="I67" s="125"/>
      <c r="J67" s="125"/>
      <c r="K67" s="140"/>
    </row>
    <row r="68" spans="3:11" x14ac:dyDescent="0.25">
      <c r="C68" s="128"/>
      <c r="D68" s="123"/>
      <c r="E68" s="123"/>
      <c r="F68" s="123"/>
      <c r="G68" s="125"/>
      <c r="H68" s="125"/>
      <c r="I68" s="125"/>
      <c r="J68" s="125"/>
      <c r="K68" s="140"/>
    </row>
    <row r="69" spans="3:11" x14ac:dyDescent="0.25">
      <c r="C69" s="128" t="s">
        <v>379</v>
      </c>
      <c r="D69" s="123"/>
      <c r="E69" s="123"/>
      <c r="F69" s="123"/>
      <c r="G69" s="125"/>
      <c r="H69" s="125"/>
      <c r="I69" s="125"/>
      <c r="J69" s="125"/>
      <c r="K69" s="140"/>
    </row>
    <row r="70" spans="3:11" ht="29.25" customHeight="1" x14ac:dyDescent="0.25">
      <c r="C70" s="128"/>
      <c r="D70" s="660" t="s">
        <v>355</v>
      </c>
      <c r="E70" s="661"/>
      <c r="F70" s="661"/>
      <c r="G70" s="125">
        <v>10.5</v>
      </c>
      <c r="H70" s="125">
        <v>0.1</v>
      </c>
      <c r="I70" s="125">
        <v>0.1</v>
      </c>
      <c r="J70" s="125">
        <f>G70*H70*I70</f>
        <v>0.10500000000000001</v>
      </c>
      <c r="K70" s="140" t="s">
        <v>346</v>
      </c>
    </row>
    <row r="71" spans="3:11" x14ac:dyDescent="0.25">
      <c r="C71" s="128"/>
      <c r="D71" s="123" t="s">
        <v>354</v>
      </c>
      <c r="E71" s="123"/>
      <c r="F71" s="123"/>
      <c r="G71" s="125">
        <v>10.5</v>
      </c>
      <c r="H71" s="125">
        <v>0.1</v>
      </c>
      <c r="I71" s="125">
        <v>0.2</v>
      </c>
      <c r="J71" s="125">
        <f>G71*H71*I71</f>
        <v>0.21000000000000002</v>
      </c>
      <c r="K71" s="140" t="s">
        <v>346</v>
      </c>
    </row>
    <row r="72" spans="3:11" x14ac:dyDescent="0.25">
      <c r="C72" s="128"/>
      <c r="D72" s="123"/>
      <c r="E72" s="123"/>
      <c r="F72" s="123"/>
      <c r="G72" s="125"/>
      <c r="H72" s="125"/>
      <c r="I72" s="125"/>
      <c r="J72" s="125"/>
      <c r="K72" s="140"/>
    </row>
    <row r="73" spans="3:11" x14ac:dyDescent="0.25">
      <c r="C73" s="128"/>
      <c r="D73" s="123" t="s">
        <v>360</v>
      </c>
      <c r="E73" s="123"/>
      <c r="F73" s="123"/>
      <c r="G73" s="125"/>
      <c r="H73" s="124"/>
      <c r="I73" s="132"/>
      <c r="J73" s="125">
        <f>J70</f>
        <v>0.10500000000000001</v>
      </c>
      <c r="K73" s="140" t="s">
        <v>346</v>
      </c>
    </row>
    <row r="74" spans="3:11" x14ac:dyDescent="0.25">
      <c r="C74" s="128"/>
      <c r="D74" s="123" t="s">
        <v>358</v>
      </c>
      <c r="E74" s="123"/>
      <c r="F74" s="123"/>
      <c r="G74" s="125">
        <f>J71</f>
        <v>0.21000000000000002</v>
      </c>
      <c r="H74" s="124" t="s">
        <v>359</v>
      </c>
      <c r="I74" s="132">
        <v>2.8270000000000001E-3</v>
      </c>
      <c r="J74" s="125">
        <f>G74-I74</f>
        <v>0.20717300000000002</v>
      </c>
      <c r="K74" s="140" t="s">
        <v>346</v>
      </c>
    </row>
    <row r="75" spans="3:11" x14ac:dyDescent="0.25">
      <c r="C75" s="128"/>
      <c r="D75" s="123"/>
      <c r="E75" s="123"/>
      <c r="F75" s="123"/>
      <c r="G75" s="125"/>
      <c r="H75" s="125"/>
      <c r="I75" s="125"/>
      <c r="J75" s="125"/>
      <c r="K75" s="140"/>
    </row>
    <row r="76" spans="3:11" x14ac:dyDescent="0.25">
      <c r="C76" s="128" t="s">
        <v>356</v>
      </c>
      <c r="D76" s="123"/>
      <c r="E76" s="123"/>
      <c r="F76" s="123"/>
      <c r="G76" s="125"/>
      <c r="H76" s="125"/>
      <c r="I76" s="125"/>
      <c r="J76" s="125"/>
      <c r="K76" s="140"/>
    </row>
    <row r="77" spans="3:11" x14ac:dyDescent="0.25">
      <c r="C77" s="128"/>
      <c r="D77" s="123" t="s">
        <v>357</v>
      </c>
      <c r="E77" s="123"/>
      <c r="F77" s="123"/>
      <c r="G77" s="125"/>
      <c r="H77" s="125"/>
      <c r="I77" s="125"/>
      <c r="J77" s="125">
        <f>J62+J70</f>
        <v>0.19500000000000001</v>
      </c>
      <c r="K77" s="140" t="s">
        <v>346</v>
      </c>
    </row>
    <row r="78" spans="3:11" x14ac:dyDescent="0.25">
      <c r="C78" s="128"/>
      <c r="D78" s="123" t="s">
        <v>354</v>
      </c>
      <c r="E78" s="123"/>
      <c r="F78" s="123"/>
      <c r="G78" s="125"/>
      <c r="H78" s="125"/>
      <c r="I78" s="125"/>
      <c r="J78" s="125">
        <f>J63+J71</f>
        <v>0.39</v>
      </c>
      <c r="K78" s="140" t="s">
        <v>346</v>
      </c>
    </row>
    <row r="79" spans="3:11" x14ac:dyDescent="0.25">
      <c r="C79" s="128"/>
      <c r="D79" s="123"/>
      <c r="E79" s="123"/>
      <c r="F79" s="123"/>
      <c r="G79" s="125"/>
      <c r="H79" s="125"/>
      <c r="I79" s="125"/>
      <c r="J79" s="125"/>
      <c r="K79" s="140"/>
    </row>
    <row r="80" spans="3:11" x14ac:dyDescent="0.25">
      <c r="C80" s="128"/>
      <c r="D80" s="123" t="s">
        <v>360</v>
      </c>
      <c r="E80" s="123"/>
      <c r="F80" s="123"/>
      <c r="G80" s="125"/>
      <c r="H80" s="125"/>
      <c r="I80" s="125"/>
      <c r="J80" s="125">
        <f>+J65+J73</f>
        <v>0.19500000000000001</v>
      </c>
      <c r="K80" s="140" t="s">
        <v>346</v>
      </c>
    </row>
    <row r="81" spans="2:11" ht="15.75" thickBot="1" x14ac:dyDescent="0.3">
      <c r="C81" s="129"/>
      <c r="D81" s="130" t="s">
        <v>358</v>
      </c>
      <c r="E81" s="130"/>
      <c r="F81" s="130"/>
      <c r="G81" s="147"/>
      <c r="H81" s="147"/>
      <c r="I81" s="147"/>
      <c r="J81" s="147">
        <f>J66+J74</f>
        <v>0.38434600000000008</v>
      </c>
      <c r="K81" s="141" t="s">
        <v>346</v>
      </c>
    </row>
    <row r="82" spans="2:11" ht="15.75" thickBot="1" x14ac:dyDescent="0.3">
      <c r="C82" s="123"/>
      <c r="D82" s="123"/>
      <c r="E82" s="123"/>
      <c r="F82" s="123"/>
      <c r="G82" s="125"/>
      <c r="H82" s="125"/>
      <c r="I82" s="125"/>
      <c r="J82" s="125"/>
    </row>
    <row r="83" spans="2:11" ht="22.5" customHeight="1" x14ac:dyDescent="0.25">
      <c r="C83" s="636" t="s">
        <v>344</v>
      </c>
      <c r="D83" s="637"/>
      <c r="E83" s="637"/>
      <c r="F83" s="637"/>
      <c r="G83" s="637"/>
      <c r="H83" s="637"/>
      <c r="I83" s="360"/>
      <c r="J83" s="370" t="s">
        <v>991</v>
      </c>
      <c r="K83" s="139"/>
    </row>
    <row r="84" spans="2:11" ht="15" customHeight="1" x14ac:dyDescent="0.25">
      <c r="B84" s="133"/>
      <c r="C84" s="216"/>
      <c r="D84" s="123"/>
      <c r="E84" s="217"/>
      <c r="F84" s="217"/>
      <c r="G84" s="217"/>
      <c r="H84" s="217"/>
      <c r="I84" s="217"/>
      <c r="J84" s="217"/>
      <c r="K84" s="140"/>
    </row>
    <row r="85" spans="2:11" ht="15" customHeight="1" x14ac:dyDescent="0.25">
      <c r="B85" s="133"/>
      <c r="C85" s="628" t="s">
        <v>361</v>
      </c>
      <c r="D85" s="625"/>
      <c r="E85" s="625"/>
      <c r="F85" s="625"/>
      <c r="G85" s="625"/>
      <c r="H85" s="625"/>
      <c r="I85" s="625"/>
      <c r="J85" s="625"/>
      <c r="K85" s="140"/>
    </row>
    <row r="86" spans="2:11" ht="15" customHeight="1" x14ac:dyDescent="0.25">
      <c r="B86" s="133"/>
      <c r="C86" s="216"/>
      <c r="D86" s="123" t="s">
        <v>348</v>
      </c>
      <c r="E86" s="123"/>
      <c r="F86" s="123"/>
      <c r="G86" s="217"/>
      <c r="H86" s="217"/>
      <c r="I86" s="217"/>
      <c r="J86" s="217"/>
      <c r="K86" s="140"/>
    </row>
    <row r="87" spans="2:11" ht="18.75" customHeight="1" x14ac:dyDescent="0.25">
      <c r="B87" s="133"/>
      <c r="C87" s="216"/>
      <c r="D87" s="629" t="s">
        <v>362</v>
      </c>
      <c r="E87" s="629"/>
      <c r="F87" s="629"/>
      <c r="G87" s="629"/>
      <c r="H87" s="629"/>
      <c r="I87" s="629"/>
      <c r="J87" s="220"/>
      <c r="K87" s="140"/>
    </row>
    <row r="88" spans="2:11" ht="18.75" customHeight="1" x14ac:dyDescent="0.25">
      <c r="B88" s="133"/>
      <c r="C88" s="216"/>
      <c r="D88" s="217" t="s">
        <v>364</v>
      </c>
      <c r="E88" s="220"/>
      <c r="F88" s="220"/>
      <c r="G88" s="220"/>
      <c r="H88" s="220"/>
      <c r="I88" s="123"/>
      <c r="J88" s="242">
        <v>39</v>
      </c>
      <c r="K88" s="243"/>
    </row>
    <row r="89" spans="2:11" ht="18.75" customHeight="1" x14ac:dyDescent="0.25">
      <c r="B89" s="133"/>
      <c r="C89" s="216"/>
      <c r="D89" s="217" t="s">
        <v>365</v>
      </c>
      <c r="E89" s="220"/>
      <c r="F89" s="220"/>
      <c r="G89" s="220"/>
      <c r="H89" s="220"/>
      <c r="I89" s="123"/>
      <c r="J89" s="242">
        <v>34</v>
      </c>
      <c r="K89" s="243"/>
    </row>
    <row r="90" spans="2:11" ht="18.75" customHeight="1" x14ac:dyDescent="0.25">
      <c r="B90" s="133"/>
      <c r="C90" s="216"/>
      <c r="D90" s="217" t="s">
        <v>366</v>
      </c>
      <c r="E90" s="220"/>
      <c r="F90" s="220"/>
      <c r="G90" s="220"/>
      <c r="H90" s="220"/>
      <c r="I90" s="123"/>
      <c r="J90" s="242">
        <v>8</v>
      </c>
      <c r="K90" s="243"/>
    </row>
    <row r="91" spans="2:11" ht="26.25" customHeight="1" x14ac:dyDescent="0.25">
      <c r="B91" s="133"/>
      <c r="C91" s="216"/>
      <c r="D91" s="629" t="s">
        <v>363</v>
      </c>
      <c r="E91" s="625"/>
      <c r="F91" s="625"/>
      <c r="G91" s="625"/>
      <c r="H91" s="625"/>
      <c r="I91" s="625"/>
      <c r="J91" s="135"/>
      <c r="K91" s="134"/>
    </row>
    <row r="92" spans="2:11" ht="15" customHeight="1" x14ac:dyDescent="0.25">
      <c r="B92" s="133"/>
      <c r="C92" s="216"/>
      <c r="D92" s="217" t="s">
        <v>367</v>
      </c>
      <c r="E92" s="217"/>
      <c r="F92" s="217"/>
      <c r="G92" s="217"/>
      <c r="H92" s="217"/>
      <c r="I92" s="123"/>
      <c r="J92" s="135">
        <v>30</v>
      </c>
      <c r="K92" s="134"/>
    </row>
    <row r="93" spans="2:11" ht="15" customHeight="1" x14ac:dyDescent="0.25">
      <c r="B93" s="133"/>
      <c r="C93" s="216"/>
      <c r="D93" s="217"/>
      <c r="E93" s="217"/>
      <c r="F93" s="217"/>
      <c r="G93" s="217" t="s">
        <v>38</v>
      </c>
      <c r="H93" s="217"/>
      <c r="I93" s="123"/>
      <c r="J93" s="136">
        <f>SUM(J88:J92)</f>
        <v>111</v>
      </c>
      <c r="K93" s="134" t="s">
        <v>345</v>
      </c>
    </row>
    <row r="94" spans="2:11" ht="15" customHeight="1" x14ac:dyDescent="0.25">
      <c r="B94" s="133"/>
      <c r="C94" s="216"/>
      <c r="D94" s="217"/>
      <c r="E94" s="217"/>
      <c r="F94" s="217"/>
      <c r="G94" s="217"/>
      <c r="H94" s="217"/>
      <c r="I94" s="123"/>
      <c r="J94" s="135"/>
      <c r="K94" s="134"/>
    </row>
    <row r="95" spans="2:11" ht="15" customHeight="1" x14ac:dyDescent="0.25">
      <c r="B95" s="133"/>
      <c r="C95" s="216"/>
      <c r="D95" s="217"/>
      <c r="E95" s="217"/>
      <c r="F95" s="217"/>
      <c r="G95" s="217"/>
      <c r="H95" s="217"/>
      <c r="I95" s="123"/>
      <c r="J95" s="135"/>
      <c r="K95" s="134"/>
    </row>
    <row r="96" spans="2:11" ht="15" customHeight="1" x14ac:dyDescent="0.25">
      <c r="B96" s="133"/>
      <c r="C96" s="216"/>
      <c r="D96" s="629" t="s">
        <v>368</v>
      </c>
      <c r="E96" s="625"/>
      <c r="F96" s="625"/>
      <c r="G96" s="625"/>
      <c r="H96" s="625"/>
      <c r="I96" s="625"/>
      <c r="J96" s="625"/>
      <c r="K96" s="626"/>
    </row>
    <row r="97" spans="2:11" ht="15" customHeight="1" x14ac:dyDescent="0.25">
      <c r="B97" s="133"/>
      <c r="C97" s="216"/>
      <c r="D97" s="217"/>
      <c r="E97" s="217"/>
      <c r="F97" s="217"/>
      <c r="G97" s="217"/>
      <c r="H97" s="217"/>
      <c r="I97" s="135"/>
      <c r="J97" s="217"/>
      <c r="K97" s="140"/>
    </row>
    <row r="98" spans="2:11" ht="15" customHeight="1" x14ac:dyDescent="0.25">
      <c r="C98" s="170"/>
      <c r="D98" s="171"/>
      <c r="E98" s="244"/>
      <c r="F98" s="244"/>
      <c r="G98" s="244"/>
      <c r="H98" s="244"/>
      <c r="I98" s="244"/>
      <c r="J98" s="244"/>
      <c r="K98" s="173"/>
    </row>
    <row r="99" spans="2:11" ht="15" customHeight="1" x14ac:dyDescent="0.25">
      <c r="C99" s="218"/>
      <c r="D99" s="123" t="s">
        <v>374</v>
      </c>
      <c r="E99" s="123"/>
      <c r="F99" s="123"/>
      <c r="G99" s="125"/>
      <c r="H99" s="125"/>
      <c r="I99" s="125"/>
      <c r="J99" s="125"/>
      <c r="K99" s="140"/>
    </row>
    <row r="100" spans="2:11" ht="15" customHeight="1" x14ac:dyDescent="0.25">
      <c r="C100" s="218"/>
      <c r="D100" s="217" t="s">
        <v>364</v>
      </c>
      <c r="E100" s="123"/>
      <c r="F100" s="123"/>
      <c r="G100" s="142">
        <v>39</v>
      </c>
      <c r="H100" s="142">
        <v>7.8499999999999993E-3</v>
      </c>
      <c r="I100" s="142">
        <v>0.1</v>
      </c>
      <c r="J100" s="142">
        <f>G100*H100*I100</f>
        <v>3.0615E-2</v>
      </c>
      <c r="K100" s="148"/>
    </row>
    <row r="101" spans="2:11" ht="15" customHeight="1" x14ac:dyDescent="0.25">
      <c r="C101" s="218"/>
      <c r="D101" s="217" t="s">
        <v>365</v>
      </c>
      <c r="E101" s="123"/>
      <c r="F101" s="123"/>
      <c r="G101" s="142">
        <v>34</v>
      </c>
      <c r="H101" s="142">
        <v>4.4200000000000003E-3</v>
      </c>
      <c r="I101" s="142">
        <v>0.1</v>
      </c>
      <c r="J101" s="142">
        <f t="shared" ref="J101:J103" si="1">G101*H101*I101</f>
        <v>1.5028000000000003E-2</v>
      </c>
      <c r="K101" s="148"/>
    </row>
    <row r="102" spans="2:11" ht="15" customHeight="1" x14ac:dyDescent="0.25">
      <c r="C102" s="218"/>
      <c r="D102" s="217" t="s">
        <v>366</v>
      </c>
      <c r="E102" s="123"/>
      <c r="F102" s="123"/>
      <c r="G102" s="142">
        <v>8</v>
      </c>
      <c r="H102" s="142">
        <v>1.9599999999999999E-3</v>
      </c>
      <c r="I102" s="142">
        <v>0.1</v>
      </c>
      <c r="J102" s="142">
        <f t="shared" si="1"/>
        <v>1.5679999999999999E-3</v>
      </c>
      <c r="K102" s="148"/>
    </row>
    <row r="103" spans="2:11" ht="15" customHeight="1" x14ac:dyDescent="0.25">
      <c r="C103" s="218"/>
      <c r="D103" s="217" t="s">
        <v>367</v>
      </c>
      <c r="E103" s="123"/>
      <c r="F103" s="123"/>
      <c r="G103" s="142">
        <v>30</v>
      </c>
      <c r="H103" s="142">
        <v>1.2600000000000001E-3</v>
      </c>
      <c r="I103" s="142">
        <v>0.1</v>
      </c>
      <c r="J103" s="142">
        <f t="shared" si="1"/>
        <v>3.7800000000000004E-3</v>
      </c>
      <c r="K103" s="148"/>
    </row>
    <row r="104" spans="2:11" ht="15" customHeight="1" x14ac:dyDescent="0.25">
      <c r="C104" s="218"/>
      <c r="D104" s="217"/>
      <c r="E104" s="123"/>
      <c r="F104" s="123"/>
      <c r="G104" s="142"/>
      <c r="H104" s="142"/>
      <c r="I104" s="142"/>
      <c r="J104" s="145">
        <f>SUM(J100:J103)</f>
        <v>5.0991000000000002E-2</v>
      </c>
      <c r="K104" s="148" t="s">
        <v>346</v>
      </c>
    </row>
    <row r="105" spans="2:11" ht="15" customHeight="1" x14ac:dyDescent="0.25">
      <c r="C105" s="218"/>
      <c r="D105" s="217"/>
      <c r="E105" s="123"/>
      <c r="F105" s="123"/>
      <c r="G105" s="142"/>
      <c r="H105" s="142"/>
      <c r="I105" s="142"/>
      <c r="J105" s="142"/>
      <c r="K105" s="148"/>
    </row>
    <row r="106" spans="2:11" ht="15" customHeight="1" x14ac:dyDescent="0.25">
      <c r="C106" s="218"/>
      <c r="D106" s="123" t="s">
        <v>354</v>
      </c>
      <c r="E106" s="123"/>
      <c r="F106" s="123"/>
      <c r="G106" s="142"/>
      <c r="H106" s="142"/>
      <c r="I106" s="142"/>
      <c r="J106" s="142"/>
      <c r="K106" s="148"/>
    </row>
    <row r="107" spans="2:11" ht="15" customHeight="1" x14ac:dyDescent="0.25">
      <c r="C107" s="218"/>
      <c r="D107" s="217" t="s">
        <v>364</v>
      </c>
      <c r="E107" s="123"/>
      <c r="F107" s="123"/>
      <c r="G107" s="142">
        <v>39</v>
      </c>
      <c r="H107" s="142">
        <v>7.8499999999999993E-3</v>
      </c>
      <c r="I107" s="142">
        <v>0.2</v>
      </c>
      <c r="J107" s="142">
        <f>G107*H107*I107</f>
        <v>6.123E-2</v>
      </c>
      <c r="K107" s="148"/>
    </row>
    <row r="108" spans="2:11" ht="15" customHeight="1" x14ac:dyDescent="0.25">
      <c r="C108" s="218"/>
      <c r="D108" s="217" t="s">
        <v>365</v>
      </c>
      <c r="E108" s="123"/>
      <c r="F108" s="123"/>
      <c r="G108" s="142">
        <v>34</v>
      </c>
      <c r="H108" s="142">
        <v>4.4200000000000003E-3</v>
      </c>
      <c r="I108" s="142">
        <v>0.2</v>
      </c>
      <c r="J108" s="142">
        <f t="shared" ref="J108:J110" si="2">G108*H108*I108</f>
        <v>3.0056000000000006E-2</v>
      </c>
      <c r="K108" s="148"/>
    </row>
    <row r="109" spans="2:11" ht="15" customHeight="1" x14ac:dyDescent="0.25">
      <c r="C109" s="218"/>
      <c r="D109" s="217" t="s">
        <v>366</v>
      </c>
      <c r="E109" s="123"/>
      <c r="F109" s="123"/>
      <c r="G109" s="142">
        <v>8</v>
      </c>
      <c r="H109" s="142">
        <v>1.9599999999999999E-3</v>
      </c>
      <c r="I109" s="142">
        <v>0.2</v>
      </c>
      <c r="J109" s="142">
        <f t="shared" si="2"/>
        <v>3.1359999999999999E-3</v>
      </c>
      <c r="K109" s="148"/>
    </row>
    <row r="110" spans="2:11" ht="15" customHeight="1" x14ac:dyDescent="0.25">
      <c r="C110" s="218"/>
      <c r="D110" s="217" t="s">
        <v>367</v>
      </c>
      <c r="E110" s="123"/>
      <c r="F110" s="123"/>
      <c r="G110" s="142">
        <v>30</v>
      </c>
      <c r="H110" s="142">
        <v>1.2600000000000001E-3</v>
      </c>
      <c r="I110" s="142">
        <v>0.2</v>
      </c>
      <c r="J110" s="142">
        <f t="shared" si="2"/>
        <v>7.5600000000000007E-3</v>
      </c>
      <c r="K110" s="148"/>
    </row>
    <row r="111" spans="2:11" ht="15" customHeight="1" x14ac:dyDescent="0.25">
      <c r="C111" s="218"/>
      <c r="D111" s="217"/>
      <c r="E111" s="123"/>
      <c r="F111" s="123"/>
      <c r="G111" s="142"/>
      <c r="H111" s="142"/>
      <c r="I111" s="142"/>
      <c r="J111" s="145">
        <f>SUM(J107:J110)</f>
        <v>0.101982</v>
      </c>
      <c r="K111" s="148" t="s">
        <v>346</v>
      </c>
    </row>
    <row r="112" spans="2:11" ht="15" customHeight="1" x14ac:dyDescent="0.25">
      <c r="C112" s="218"/>
      <c r="D112" s="217"/>
      <c r="E112" s="123"/>
      <c r="F112" s="123"/>
      <c r="G112" s="142"/>
      <c r="H112" s="142"/>
      <c r="I112" s="142"/>
      <c r="J112" s="142"/>
      <c r="K112" s="148"/>
    </row>
    <row r="113" spans="3:11" ht="15" customHeight="1" x14ac:dyDescent="0.25">
      <c r="C113" s="218"/>
      <c r="D113" s="217"/>
      <c r="E113" s="123"/>
      <c r="F113" s="123"/>
      <c r="G113" s="142"/>
      <c r="H113" s="142"/>
      <c r="I113" s="142"/>
      <c r="J113" s="142"/>
      <c r="K113" s="148"/>
    </row>
    <row r="114" spans="3:11" ht="15" customHeight="1" x14ac:dyDescent="0.25">
      <c r="C114" s="218"/>
      <c r="D114" s="123" t="s">
        <v>360</v>
      </c>
      <c r="E114" s="123"/>
      <c r="F114" s="123"/>
      <c r="G114" s="142"/>
      <c r="H114" s="144"/>
      <c r="I114" s="142"/>
      <c r="J114" s="142"/>
      <c r="K114" s="148"/>
    </row>
    <row r="115" spans="3:11" ht="15" customHeight="1" x14ac:dyDescent="0.25">
      <c r="C115" s="218"/>
      <c r="D115" s="217" t="s">
        <v>364</v>
      </c>
      <c r="E115" s="123"/>
      <c r="F115" s="123"/>
      <c r="G115" s="142"/>
      <c r="H115" s="144"/>
      <c r="I115" s="142"/>
      <c r="J115" s="142">
        <f>J100</f>
        <v>3.0615E-2</v>
      </c>
      <c r="K115" s="148"/>
    </row>
    <row r="116" spans="3:11" ht="15" customHeight="1" x14ac:dyDescent="0.25">
      <c r="C116" s="218"/>
      <c r="D116" s="217" t="s">
        <v>365</v>
      </c>
      <c r="E116" s="123"/>
      <c r="F116" s="123"/>
      <c r="G116" s="142"/>
      <c r="H116" s="144"/>
      <c r="I116" s="142"/>
      <c r="J116" s="142">
        <f>J101</f>
        <v>1.5028000000000003E-2</v>
      </c>
      <c r="K116" s="148"/>
    </row>
    <row r="117" spans="3:11" ht="15" customHeight="1" x14ac:dyDescent="0.25">
      <c r="C117" s="218"/>
      <c r="D117" s="217" t="s">
        <v>366</v>
      </c>
      <c r="E117" s="123"/>
      <c r="F117" s="123"/>
      <c r="G117" s="142"/>
      <c r="H117" s="144"/>
      <c r="I117" s="142"/>
      <c r="J117" s="142">
        <f>J102</f>
        <v>1.5679999999999999E-3</v>
      </c>
      <c r="K117" s="148"/>
    </row>
    <row r="118" spans="3:11" ht="15" customHeight="1" x14ac:dyDescent="0.25">
      <c r="C118" s="218"/>
      <c r="D118" s="217" t="s">
        <v>367</v>
      </c>
      <c r="E118" s="123"/>
      <c r="F118" s="123"/>
      <c r="G118" s="142"/>
      <c r="H118" s="144"/>
      <c r="I118" s="142"/>
      <c r="J118" s="142">
        <f>J103</f>
        <v>3.7800000000000004E-3</v>
      </c>
      <c r="K118" s="148"/>
    </row>
    <row r="119" spans="3:11" ht="15" customHeight="1" x14ac:dyDescent="0.25">
      <c r="C119" s="218"/>
      <c r="D119" s="123"/>
      <c r="E119" s="123"/>
      <c r="F119" s="123"/>
      <c r="G119" s="142"/>
      <c r="H119" s="144"/>
      <c r="I119" s="144"/>
      <c r="J119" s="145">
        <f>SUM(J115:J118)</f>
        <v>5.0991000000000002E-2</v>
      </c>
      <c r="K119" s="148" t="s">
        <v>346</v>
      </c>
    </row>
    <row r="120" spans="3:11" ht="15" customHeight="1" x14ac:dyDescent="0.25">
      <c r="C120" s="218"/>
      <c r="D120" s="123"/>
      <c r="E120" s="123"/>
      <c r="F120" s="123"/>
      <c r="G120" s="142"/>
      <c r="H120" s="144"/>
      <c r="I120" s="144"/>
      <c r="J120" s="142"/>
      <c r="K120" s="148"/>
    </row>
    <row r="121" spans="3:11" ht="15" customHeight="1" x14ac:dyDescent="0.25">
      <c r="C121" s="218"/>
      <c r="D121" s="123" t="s">
        <v>358</v>
      </c>
      <c r="E121" s="123"/>
      <c r="F121" s="123"/>
      <c r="G121" s="142"/>
      <c r="H121" s="144"/>
      <c r="I121" s="144"/>
      <c r="J121" s="142"/>
      <c r="K121" s="148"/>
    </row>
    <row r="122" spans="3:11" ht="15" customHeight="1" x14ac:dyDescent="0.25">
      <c r="C122" s="218"/>
      <c r="D122" s="217" t="s">
        <v>364</v>
      </c>
      <c r="E122" s="240"/>
      <c r="F122" s="240"/>
      <c r="G122" s="142">
        <f>J107</f>
        <v>6.123E-2</v>
      </c>
      <c r="H122" s="144" t="s">
        <v>359</v>
      </c>
      <c r="I122" s="142">
        <v>7.8499999999999993E-3</v>
      </c>
      <c r="J122" s="146">
        <f>G122-I122</f>
        <v>5.3379999999999997E-2</v>
      </c>
      <c r="K122" s="149"/>
    </row>
    <row r="123" spans="3:11" ht="15" customHeight="1" x14ac:dyDescent="0.25">
      <c r="C123" s="218"/>
      <c r="D123" s="217" t="s">
        <v>365</v>
      </c>
      <c r="E123" s="240"/>
      <c r="F123" s="240"/>
      <c r="G123" s="142">
        <f>J108</f>
        <v>3.0056000000000006E-2</v>
      </c>
      <c r="H123" s="144" t="s">
        <v>359</v>
      </c>
      <c r="I123" s="142">
        <v>4.4200000000000003E-3</v>
      </c>
      <c r="J123" s="146">
        <f t="shared" ref="J123:J125" si="3">G123-I123</f>
        <v>2.5636000000000006E-2</v>
      </c>
      <c r="K123" s="149"/>
    </row>
    <row r="124" spans="3:11" ht="15" customHeight="1" x14ac:dyDescent="0.25">
      <c r="C124" s="218"/>
      <c r="D124" s="217" t="s">
        <v>366</v>
      </c>
      <c r="E124" s="240"/>
      <c r="F124" s="240"/>
      <c r="G124" s="142">
        <f>J109</f>
        <v>3.1359999999999999E-3</v>
      </c>
      <c r="H124" s="144" t="s">
        <v>359</v>
      </c>
      <c r="I124" s="142">
        <v>1.9599999999999999E-3</v>
      </c>
      <c r="J124" s="146">
        <f t="shared" si="3"/>
        <v>1.176E-3</v>
      </c>
      <c r="K124" s="149"/>
    </row>
    <row r="125" spans="3:11" ht="15" customHeight="1" x14ac:dyDescent="0.25">
      <c r="C125" s="218"/>
      <c r="D125" s="217" t="s">
        <v>367</v>
      </c>
      <c r="E125" s="240"/>
      <c r="F125" s="240"/>
      <c r="G125" s="142">
        <f>J110</f>
        <v>7.5600000000000007E-3</v>
      </c>
      <c r="H125" s="144" t="s">
        <v>359</v>
      </c>
      <c r="I125" s="142">
        <v>1.2600000000000001E-3</v>
      </c>
      <c r="J125" s="146">
        <f t="shared" si="3"/>
        <v>6.3000000000000009E-3</v>
      </c>
      <c r="K125" s="149"/>
    </row>
    <row r="126" spans="3:11" ht="15" customHeight="1" thickBot="1" x14ac:dyDescent="0.3">
      <c r="C126" s="245"/>
      <c r="D126" s="246"/>
      <c r="E126" s="246"/>
      <c r="F126" s="246"/>
      <c r="G126" s="247"/>
      <c r="H126" s="247"/>
      <c r="I126" s="247"/>
      <c r="J126" s="150">
        <f>SUM(J122:J125)</f>
        <v>8.6491999999999999E-2</v>
      </c>
      <c r="K126" s="141" t="s">
        <v>346</v>
      </c>
    </row>
    <row r="127" spans="3:11" ht="15.75" thickBot="1" x14ac:dyDescent="0.3">
      <c r="C127" s="123"/>
      <c r="D127" s="123"/>
      <c r="E127" s="123"/>
      <c r="F127" s="123"/>
      <c r="G127" s="143"/>
      <c r="H127" s="144"/>
      <c r="I127" s="143"/>
      <c r="J127" s="143"/>
    </row>
    <row r="128" spans="3:11" ht="21.75" customHeight="1" x14ac:dyDescent="0.25">
      <c r="C128" s="636" t="s">
        <v>287</v>
      </c>
      <c r="D128" s="637"/>
      <c r="E128" s="637"/>
      <c r="F128" s="637"/>
      <c r="G128" s="637"/>
      <c r="H128" s="637"/>
      <c r="I128" s="644" t="s">
        <v>992</v>
      </c>
      <c r="J128" s="645"/>
      <c r="K128" s="646"/>
    </row>
    <row r="129" spans="3:11" x14ac:dyDescent="0.25">
      <c r="C129" s="128"/>
      <c r="D129" s="123"/>
      <c r="E129" s="123"/>
      <c r="F129" s="123"/>
      <c r="G129" s="123"/>
      <c r="H129" s="124"/>
      <c r="I129" s="123"/>
      <c r="J129" s="84"/>
      <c r="K129" s="140"/>
    </row>
    <row r="130" spans="3:11" ht="15" customHeight="1" x14ac:dyDescent="0.25">
      <c r="C130" s="628" t="s">
        <v>361</v>
      </c>
      <c r="D130" s="625"/>
      <c r="E130" s="625"/>
      <c r="F130" s="625"/>
      <c r="G130" s="625"/>
      <c r="H130" s="625"/>
      <c r="I130" s="625"/>
      <c r="J130" s="625"/>
      <c r="K130" s="140"/>
    </row>
    <row r="131" spans="3:11" x14ac:dyDescent="0.25">
      <c r="C131" s="216"/>
      <c r="D131" s="123" t="s">
        <v>348</v>
      </c>
      <c r="E131" s="123"/>
      <c r="F131" s="123"/>
      <c r="G131" s="217"/>
      <c r="H131" s="217"/>
      <c r="I131" s="217"/>
      <c r="J131" s="217"/>
      <c r="K131" s="140"/>
    </row>
    <row r="132" spans="3:11" x14ac:dyDescent="0.25">
      <c r="C132" s="128"/>
      <c r="D132" s="629" t="s">
        <v>369</v>
      </c>
      <c r="E132" s="629"/>
      <c r="F132" s="629"/>
      <c r="G132" s="629"/>
      <c r="H132" s="629"/>
      <c r="I132" s="629"/>
      <c r="J132" s="220"/>
      <c r="K132" s="140"/>
    </row>
    <row r="133" spans="3:11" ht="15" customHeight="1" x14ac:dyDescent="0.25">
      <c r="C133" s="128"/>
      <c r="D133" s="217" t="s">
        <v>366</v>
      </c>
      <c r="E133" s="220"/>
      <c r="F133" s="220"/>
      <c r="G133" s="220"/>
      <c r="H133" s="220"/>
      <c r="I133" s="123"/>
      <c r="J133" s="242">
        <v>30</v>
      </c>
      <c r="K133" s="140"/>
    </row>
    <row r="134" spans="3:11" x14ac:dyDescent="0.25">
      <c r="C134" s="128"/>
      <c r="D134" s="217" t="s">
        <v>370</v>
      </c>
      <c r="E134" s="220"/>
      <c r="F134" s="220"/>
      <c r="G134" s="220"/>
      <c r="H134" s="220"/>
      <c r="I134" s="123"/>
      <c r="J134" s="242">
        <v>20</v>
      </c>
      <c r="K134" s="140"/>
    </row>
    <row r="135" spans="3:11" x14ac:dyDescent="0.25">
      <c r="C135" s="128"/>
      <c r="D135" s="217" t="s">
        <v>371</v>
      </c>
      <c r="E135" s="220"/>
      <c r="F135" s="220"/>
      <c r="G135" s="220"/>
      <c r="H135" s="220"/>
      <c r="I135" s="123"/>
      <c r="J135" s="242">
        <v>73.099999999999994</v>
      </c>
      <c r="K135" s="140"/>
    </row>
    <row r="136" spans="3:11" x14ac:dyDescent="0.25">
      <c r="C136" s="128"/>
      <c r="D136" s="217" t="s">
        <v>372</v>
      </c>
      <c r="E136" s="123"/>
      <c r="F136" s="123"/>
      <c r="G136" s="123"/>
      <c r="H136" s="124"/>
      <c r="I136" s="123"/>
      <c r="J136" s="84">
        <v>17.899999999999999</v>
      </c>
      <c r="K136" s="140"/>
    </row>
    <row r="137" spans="3:11" x14ac:dyDescent="0.25">
      <c r="C137" s="128"/>
      <c r="D137" s="123"/>
      <c r="E137" s="123" t="s">
        <v>373</v>
      </c>
      <c r="F137" s="123"/>
      <c r="G137" s="123"/>
      <c r="H137" s="124"/>
      <c r="I137" s="123"/>
      <c r="J137" s="151">
        <f>SUM(J133:J136)</f>
        <v>141</v>
      </c>
      <c r="K137" s="140" t="s">
        <v>345</v>
      </c>
    </row>
    <row r="138" spans="3:11" x14ac:dyDescent="0.25">
      <c r="C138" s="128"/>
      <c r="D138" s="123"/>
      <c r="E138" s="123"/>
      <c r="F138" s="123"/>
      <c r="G138" s="123"/>
      <c r="H138" s="124"/>
      <c r="I138" s="123"/>
      <c r="J138" s="84"/>
      <c r="K138" s="140"/>
    </row>
    <row r="139" spans="3:11" ht="45.75" customHeight="1" x14ac:dyDescent="0.25">
      <c r="C139" s="624" t="s">
        <v>378</v>
      </c>
      <c r="D139" s="625"/>
      <c r="E139" s="625"/>
      <c r="F139" s="625"/>
      <c r="G139" s="625"/>
      <c r="H139" s="625"/>
      <c r="I139" s="625"/>
      <c r="J139" s="625"/>
      <c r="K139" s="626"/>
    </row>
    <row r="140" spans="3:11" x14ac:dyDescent="0.25">
      <c r="C140" s="128"/>
      <c r="D140" s="123"/>
      <c r="E140" s="123"/>
      <c r="F140" s="123"/>
      <c r="G140" s="123"/>
      <c r="H140" s="124"/>
      <c r="I140" s="123"/>
      <c r="J140" s="84"/>
      <c r="K140" s="140"/>
    </row>
    <row r="141" spans="3:11" x14ac:dyDescent="0.25">
      <c r="C141" s="170"/>
      <c r="D141" s="171"/>
      <c r="E141" s="171"/>
      <c r="F141" s="171"/>
      <c r="G141" s="171"/>
      <c r="H141" s="171"/>
      <c r="I141" s="171"/>
      <c r="J141" s="151"/>
      <c r="K141" s="173"/>
    </row>
    <row r="142" spans="3:11" x14ac:dyDescent="0.25">
      <c r="C142" s="128"/>
      <c r="D142" s="123" t="s">
        <v>380</v>
      </c>
      <c r="E142" s="123"/>
      <c r="F142" s="123"/>
      <c r="G142" s="123"/>
      <c r="H142" s="124"/>
      <c r="I142" s="123"/>
      <c r="J142" s="123"/>
      <c r="K142" s="140"/>
    </row>
    <row r="143" spans="3:11" x14ac:dyDescent="0.25">
      <c r="C143" s="128"/>
      <c r="D143" s="123"/>
      <c r="E143" s="123" t="s">
        <v>381</v>
      </c>
      <c r="F143" s="123"/>
      <c r="G143" s="123"/>
      <c r="H143" s="124"/>
      <c r="I143" s="123"/>
      <c r="J143" s="84">
        <v>6</v>
      </c>
      <c r="K143" s="140" t="s">
        <v>382</v>
      </c>
    </row>
    <row r="144" spans="3:11" x14ac:dyDescent="0.25">
      <c r="C144" s="128"/>
      <c r="D144" s="123"/>
      <c r="E144" s="123" t="s">
        <v>383</v>
      </c>
      <c r="F144" s="123"/>
      <c r="G144" s="123"/>
      <c r="H144" s="124"/>
      <c r="I144" s="123"/>
      <c r="J144" s="84">
        <v>1</v>
      </c>
      <c r="K144" s="140" t="s">
        <v>382</v>
      </c>
    </row>
    <row r="145" spans="3:11" x14ac:dyDescent="0.25">
      <c r="C145" s="128"/>
      <c r="D145" s="123" t="s">
        <v>384</v>
      </c>
      <c r="E145" s="123"/>
      <c r="F145" s="123"/>
      <c r="G145" s="123"/>
      <c r="H145" s="124"/>
      <c r="I145" s="123"/>
      <c r="J145" s="84"/>
      <c r="K145" s="140"/>
    </row>
    <row r="146" spans="3:11" x14ac:dyDescent="0.25">
      <c r="C146" s="128"/>
      <c r="D146" s="123"/>
      <c r="E146" s="123" t="s">
        <v>385</v>
      </c>
      <c r="F146" s="123"/>
      <c r="G146" s="123"/>
      <c r="H146" s="124"/>
      <c r="I146" s="123"/>
      <c r="J146" s="84">
        <v>4</v>
      </c>
      <c r="K146" s="140" t="s">
        <v>382</v>
      </c>
    </row>
    <row r="147" spans="3:11" x14ac:dyDescent="0.25">
      <c r="C147" s="128"/>
      <c r="D147" s="123" t="s">
        <v>388</v>
      </c>
      <c r="E147" s="123"/>
      <c r="F147" s="123"/>
      <c r="G147" s="123"/>
      <c r="H147" s="124"/>
      <c r="I147" s="123"/>
      <c r="J147" s="84"/>
      <c r="K147" s="140"/>
    </row>
    <row r="148" spans="3:11" x14ac:dyDescent="0.25">
      <c r="C148" s="128"/>
      <c r="D148" s="123"/>
      <c r="E148" s="123" t="s">
        <v>387</v>
      </c>
      <c r="F148" s="123"/>
      <c r="G148" s="123"/>
      <c r="H148" s="124"/>
      <c r="I148" s="123"/>
      <c r="J148" s="84">
        <v>1</v>
      </c>
      <c r="K148" s="140" t="s">
        <v>382</v>
      </c>
    </row>
    <row r="149" spans="3:11" x14ac:dyDescent="0.25">
      <c r="C149" s="128"/>
      <c r="D149" s="123" t="s">
        <v>389</v>
      </c>
      <c r="E149" s="123"/>
      <c r="F149" s="123"/>
      <c r="G149" s="123"/>
      <c r="H149" s="124"/>
      <c r="I149" s="123"/>
      <c r="J149" s="84"/>
      <c r="K149" s="140"/>
    </row>
    <row r="150" spans="3:11" x14ac:dyDescent="0.25">
      <c r="C150" s="128"/>
      <c r="D150" s="123"/>
      <c r="E150" s="123" t="s">
        <v>386</v>
      </c>
      <c r="F150" s="123"/>
      <c r="G150" s="123"/>
      <c r="H150" s="124"/>
      <c r="I150" s="123"/>
      <c r="J150" s="84">
        <v>1</v>
      </c>
      <c r="K150" s="140" t="s">
        <v>382</v>
      </c>
    </row>
    <row r="151" spans="3:11" x14ac:dyDescent="0.25">
      <c r="C151" s="128"/>
      <c r="D151" s="123" t="s">
        <v>390</v>
      </c>
      <c r="E151" s="123"/>
      <c r="F151" s="123"/>
      <c r="G151" s="123"/>
      <c r="H151" s="124"/>
      <c r="I151" s="123"/>
      <c r="J151" s="84"/>
      <c r="K151" s="140"/>
    </row>
    <row r="152" spans="3:11" x14ac:dyDescent="0.25">
      <c r="C152" s="128"/>
      <c r="D152" s="123"/>
      <c r="E152" s="123" t="s">
        <v>387</v>
      </c>
      <c r="F152" s="123"/>
      <c r="G152" s="123"/>
      <c r="H152" s="124"/>
      <c r="I152" s="123"/>
      <c r="J152" s="84">
        <v>1</v>
      </c>
      <c r="K152" s="140" t="s">
        <v>382</v>
      </c>
    </row>
    <row r="153" spans="3:11" x14ac:dyDescent="0.25">
      <c r="C153" s="128"/>
      <c r="D153" s="123"/>
      <c r="E153" s="123"/>
      <c r="F153" s="123"/>
      <c r="G153" s="123"/>
      <c r="H153" s="124"/>
      <c r="I153" s="123" t="s">
        <v>391</v>
      </c>
      <c r="J153" s="151">
        <f>SUM(J143:J152)</f>
        <v>14</v>
      </c>
      <c r="K153" s="140" t="s">
        <v>382</v>
      </c>
    </row>
    <row r="154" spans="3:11" x14ac:dyDescent="0.25">
      <c r="C154" s="128"/>
      <c r="D154" s="123"/>
      <c r="E154" s="123"/>
      <c r="F154" s="123"/>
      <c r="G154" s="123"/>
      <c r="H154" s="124"/>
      <c r="I154" s="123"/>
      <c r="J154" s="84"/>
      <c r="K154" s="140"/>
    </row>
    <row r="155" spans="3:11" x14ac:dyDescent="0.25">
      <c r="C155" s="128"/>
      <c r="D155" s="123" t="s">
        <v>374</v>
      </c>
      <c r="E155" s="123"/>
      <c r="F155" s="123"/>
      <c r="G155" s="123"/>
      <c r="H155" s="124"/>
      <c r="I155" s="123"/>
      <c r="J155" s="84"/>
      <c r="K155" s="140"/>
    </row>
    <row r="156" spans="3:11" x14ac:dyDescent="0.25">
      <c r="C156" s="128"/>
      <c r="D156" s="123"/>
      <c r="E156" s="152">
        <v>6</v>
      </c>
      <c r="F156" s="153">
        <v>0.15</v>
      </c>
      <c r="G156" s="153">
        <v>0.15</v>
      </c>
      <c r="H156" s="153">
        <v>0.1</v>
      </c>
      <c r="I156" s="154"/>
      <c r="J156" s="153">
        <f>E156*F156*G156*H156</f>
        <v>1.3499999999999998E-2</v>
      </c>
      <c r="K156" s="140"/>
    </row>
    <row r="157" spans="3:11" x14ac:dyDescent="0.25">
      <c r="C157" s="128"/>
      <c r="D157" s="123"/>
      <c r="E157" s="152">
        <v>1</v>
      </c>
      <c r="F157" s="153">
        <v>0.15</v>
      </c>
      <c r="G157" s="153">
        <v>0.185</v>
      </c>
      <c r="H157" s="153">
        <v>0.1</v>
      </c>
      <c r="I157" s="154"/>
      <c r="J157" s="153">
        <f t="shared" ref="J157:J160" si="4">E157*F157*G157*H157</f>
        <v>2.7750000000000001E-3</v>
      </c>
      <c r="K157" s="140"/>
    </row>
    <row r="158" spans="3:11" x14ac:dyDescent="0.25">
      <c r="C158" s="128"/>
      <c r="D158" s="123"/>
      <c r="E158" s="152">
        <v>4</v>
      </c>
      <c r="F158" s="153">
        <v>0.1</v>
      </c>
      <c r="G158" s="153">
        <v>0.1</v>
      </c>
      <c r="H158" s="153">
        <v>0.1</v>
      </c>
      <c r="I158" s="157"/>
      <c r="J158" s="153">
        <f t="shared" si="4"/>
        <v>4.000000000000001E-3</v>
      </c>
      <c r="K158" s="140"/>
    </row>
    <row r="159" spans="3:11" x14ac:dyDescent="0.25">
      <c r="C159" s="128"/>
      <c r="D159" s="123"/>
      <c r="E159" s="152">
        <v>1</v>
      </c>
      <c r="F159" s="153">
        <v>0</v>
      </c>
      <c r="G159" s="153">
        <v>0</v>
      </c>
      <c r="H159" s="153">
        <v>0</v>
      </c>
      <c r="I159" s="157"/>
      <c r="J159" s="153">
        <f t="shared" si="4"/>
        <v>0</v>
      </c>
      <c r="K159" s="140"/>
    </row>
    <row r="160" spans="3:11" x14ac:dyDescent="0.25">
      <c r="C160" s="128"/>
      <c r="D160" s="123"/>
      <c r="E160" s="152">
        <v>1</v>
      </c>
      <c r="F160" s="153">
        <v>0</v>
      </c>
      <c r="G160" s="153">
        <v>0</v>
      </c>
      <c r="H160" s="153">
        <v>0</v>
      </c>
      <c r="I160" s="157"/>
      <c r="J160" s="153">
        <f t="shared" si="4"/>
        <v>0</v>
      </c>
      <c r="K160" s="140"/>
    </row>
    <row r="161" spans="3:12" x14ac:dyDescent="0.25">
      <c r="C161" s="128"/>
      <c r="D161" s="123"/>
      <c r="E161" s="152">
        <v>1</v>
      </c>
      <c r="F161" s="153">
        <v>3.1415999999999999</v>
      </c>
      <c r="G161" s="153">
        <v>0.2</v>
      </c>
      <c r="H161" s="153">
        <v>0.2</v>
      </c>
      <c r="I161" s="157">
        <v>0.1</v>
      </c>
      <c r="J161" s="153">
        <f>E161*F161*G161*H161*I161</f>
        <v>1.25664E-2</v>
      </c>
      <c r="K161" s="140"/>
    </row>
    <row r="162" spans="3:12" x14ac:dyDescent="0.25">
      <c r="C162" s="128"/>
      <c r="D162" s="123"/>
      <c r="E162" s="152"/>
      <c r="F162" s="153"/>
      <c r="G162" s="153"/>
      <c r="H162" s="153"/>
      <c r="I162" s="157"/>
      <c r="J162" s="155">
        <f>SUM(J156:J161)</f>
        <v>3.28414E-2</v>
      </c>
      <c r="K162" s="140" t="s">
        <v>346</v>
      </c>
    </row>
    <row r="163" spans="3:12" x14ac:dyDescent="0.25">
      <c r="C163" s="128"/>
      <c r="D163" s="123"/>
      <c r="E163" s="152"/>
      <c r="F163" s="153"/>
      <c r="G163" s="153"/>
      <c r="H163" s="153"/>
      <c r="I163" s="157"/>
      <c r="J163" s="153"/>
      <c r="K163" s="140"/>
    </row>
    <row r="164" spans="3:12" x14ac:dyDescent="0.25">
      <c r="C164" s="128"/>
      <c r="D164" s="123" t="s">
        <v>354</v>
      </c>
      <c r="E164" s="152"/>
      <c r="F164" s="153"/>
      <c r="G164" s="153"/>
      <c r="H164" s="153"/>
      <c r="I164" s="157"/>
      <c r="J164" s="153"/>
      <c r="K164" s="140"/>
    </row>
    <row r="165" spans="3:12" x14ac:dyDescent="0.25">
      <c r="C165" s="128"/>
      <c r="D165" s="123"/>
      <c r="E165" s="152">
        <v>6</v>
      </c>
      <c r="F165" s="153">
        <v>0.15</v>
      </c>
      <c r="G165" s="153">
        <v>0.15</v>
      </c>
      <c r="H165" s="153">
        <v>0.4</v>
      </c>
      <c r="I165" s="157"/>
      <c r="J165" s="153">
        <f>E165*F165*G165*H165</f>
        <v>5.3999999999999992E-2</v>
      </c>
      <c r="K165" s="140"/>
    </row>
    <row r="166" spans="3:12" x14ac:dyDescent="0.25">
      <c r="C166" s="128"/>
      <c r="D166" s="123"/>
      <c r="E166" s="152">
        <v>1</v>
      </c>
      <c r="F166" s="153">
        <v>0.15</v>
      </c>
      <c r="G166" s="153">
        <v>0.185</v>
      </c>
      <c r="H166" s="153">
        <v>0.65</v>
      </c>
      <c r="I166" s="157"/>
      <c r="J166" s="153">
        <f t="shared" ref="J166:J169" si="5">E166*F166*G166*H166</f>
        <v>1.8037500000000001E-2</v>
      </c>
      <c r="K166" s="140"/>
    </row>
    <row r="167" spans="3:12" x14ac:dyDescent="0.25">
      <c r="C167" s="128"/>
      <c r="D167" s="123"/>
      <c r="E167" s="152">
        <v>4</v>
      </c>
      <c r="F167" s="153">
        <v>0.1</v>
      </c>
      <c r="G167" s="153">
        <v>0.1</v>
      </c>
      <c r="H167" s="153">
        <v>0.3</v>
      </c>
      <c r="I167" s="157"/>
      <c r="J167" s="153">
        <f t="shared" si="5"/>
        <v>1.2000000000000002E-2</v>
      </c>
      <c r="K167" s="140"/>
    </row>
    <row r="168" spans="3:12" x14ac:dyDescent="0.25">
      <c r="C168" s="128"/>
      <c r="D168" s="123"/>
      <c r="E168" s="152">
        <v>1</v>
      </c>
      <c r="F168" s="153">
        <v>3.1415999999999999</v>
      </c>
      <c r="G168" s="153">
        <v>0.2</v>
      </c>
      <c r="H168" s="153">
        <v>0.2</v>
      </c>
      <c r="I168" s="157">
        <v>0.5</v>
      </c>
      <c r="J168" s="153">
        <f>E168*F168*G168*H168*I168</f>
        <v>6.2831999999999999E-2</v>
      </c>
      <c r="K168" s="140"/>
    </row>
    <row r="169" spans="3:12" x14ac:dyDescent="0.25">
      <c r="C169" s="128"/>
      <c r="D169" s="123"/>
      <c r="E169" s="152">
        <v>1</v>
      </c>
      <c r="F169" s="153">
        <v>0.6</v>
      </c>
      <c r="G169" s="153">
        <v>0.6</v>
      </c>
      <c r="H169" s="153">
        <v>0.5</v>
      </c>
      <c r="I169" s="157"/>
      <c r="J169" s="153">
        <f t="shared" si="5"/>
        <v>0.18</v>
      </c>
      <c r="K169" s="140"/>
    </row>
    <row r="170" spans="3:12" x14ac:dyDescent="0.25">
      <c r="C170" s="128"/>
      <c r="D170" s="123"/>
      <c r="E170" s="152">
        <v>1</v>
      </c>
      <c r="F170" s="153">
        <v>3.1415999999999999</v>
      </c>
      <c r="G170" s="153">
        <v>0.2</v>
      </c>
      <c r="H170" s="153">
        <v>0.2</v>
      </c>
      <c r="I170" s="157">
        <v>0.4</v>
      </c>
      <c r="J170" s="153">
        <f>E170*F170*G170*H170*I170</f>
        <v>5.0265600000000001E-2</v>
      </c>
      <c r="K170" s="140"/>
    </row>
    <row r="171" spans="3:12" x14ac:dyDescent="0.25">
      <c r="C171" s="128"/>
      <c r="D171" s="123"/>
      <c r="E171" s="123"/>
      <c r="F171" s="157"/>
      <c r="G171" s="157"/>
      <c r="H171" s="158"/>
      <c r="I171" s="157"/>
      <c r="J171" s="156">
        <f>SUM(J165:J170)</f>
        <v>0.3771351</v>
      </c>
      <c r="K171" s="140" t="s">
        <v>346</v>
      </c>
    </row>
    <row r="172" spans="3:12" ht="15.75" thickBot="1" x14ac:dyDescent="0.3">
      <c r="C172" s="129"/>
      <c r="D172" s="130"/>
      <c r="E172" s="130"/>
      <c r="F172" s="130"/>
      <c r="G172" s="130"/>
      <c r="H172" s="131"/>
      <c r="I172" s="130"/>
      <c r="J172" s="138"/>
      <c r="K172" s="141"/>
    </row>
    <row r="173" spans="3:12" ht="15.75" thickBot="1" x14ac:dyDescent="0.3"/>
    <row r="174" spans="3:12" ht="27.75" customHeight="1" x14ac:dyDescent="0.25">
      <c r="C174" s="621" t="s">
        <v>503</v>
      </c>
      <c r="D174" s="622"/>
      <c r="E174" s="622"/>
      <c r="F174" s="622"/>
      <c r="G174" s="622"/>
      <c r="H174" s="622"/>
      <c r="I174" s="622"/>
      <c r="J174" s="622"/>
      <c r="K174" s="623"/>
    </row>
    <row r="175" spans="3:12" ht="42.75" customHeight="1" x14ac:dyDescent="0.25">
      <c r="C175" s="647" t="s">
        <v>994</v>
      </c>
      <c r="D175" s="648"/>
      <c r="E175" s="648"/>
      <c r="F175" s="648"/>
      <c r="G175" s="648"/>
      <c r="H175" s="648"/>
      <c r="I175" s="648"/>
      <c r="J175" s="648"/>
      <c r="K175" s="649"/>
    </row>
    <row r="176" spans="3:12" x14ac:dyDescent="0.25">
      <c r="C176" s="248"/>
      <c r="D176" s="249" t="s">
        <v>357</v>
      </c>
      <c r="E176" s="249"/>
      <c r="F176" s="249"/>
      <c r="G176" s="250"/>
      <c r="H176" s="251"/>
      <c r="I176" s="249"/>
      <c r="J176" s="252">
        <f>J77+J104+J162</f>
        <v>0.27883240000000004</v>
      </c>
      <c r="K176" s="253" t="s">
        <v>346</v>
      </c>
      <c r="L176" s="159"/>
    </row>
    <row r="177" spans="3:12" x14ac:dyDescent="0.25">
      <c r="C177" s="248"/>
      <c r="D177" s="249" t="s">
        <v>354</v>
      </c>
      <c r="E177" s="249"/>
      <c r="F177" s="249"/>
      <c r="G177" s="250"/>
      <c r="H177" s="251"/>
      <c r="I177" s="249"/>
      <c r="J177" s="252">
        <f>J78+J111+J171</f>
        <v>0.86911709999999998</v>
      </c>
      <c r="K177" s="253" t="s">
        <v>346</v>
      </c>
      <c r="L177" s="159"/>
    </row>
    <row r="178" spans="3:12" x14ac:dyDescent="0.25">
      <c r="C178" s="248"/>
      <c r="D178" s="249" t="s">
        <v>998</v>
      </c>
      <c r="E178" s="249"/>
      <c r="F178" s="249"/>
      <c r="G178" s="250"/>
      <c r="H178" s="251"/>
      <c r="I178" s="249"/>
      <c r="J178" s="252">
        <f>J80+J119</f>
        <v>0.24599100000000002</v>
      </c>
      <c r="K178" s="253" t="s">
        <v>346</v>
      </c>
      <c r="L178" s="159"/>
    </row>
    <row r="179" spans="3:12" x14ac:dyDescent="0.25">
      <c r="C179" s="248"/>
      <c r="D179" s="249" t="s">
        <v>358</v>
      </c>
      <c r="E179" s="249"/>
      <c r="F179" s="249"/>
      <c r="G179" s="250"/>
      <c r="H179" s="251"/>
      <c r="I179" s="249"/>
      <c r="J179" s="252">
        <f>J81+J126</f>
        <v>0.47083800000000009</v>
      </c>
      <c r="K179" s="253" t="s">
        <v>346</v>
      </c>
      <c r="L179" s="159"/>
    </row>
    <row r="180" spans="3:12" x14ac:dyDescent="0.25">
      <c r="C180" s="160"/>
      <c r="D180" s="161"/>
      <c r="E180" s="161"/>
      <c r="F180" s="161"/>
      <c r="G180" s="161"/>
      <c r="H180" s="162"/>
      <c r="I180" s="161"/>
      <c r="J180" s="163"/>
      <c r="K180" s="164"/>
    </row>
    <row r="181" spans="3:12" ht="15.75" thickBot="1" x14ac:dyDescent="0.3">
      <c r="C181" s="165"/>
      <c r="D181" s="166"/>
      <c r="E181" s="166"/>
      <c r="F181" s="166"/>
      <c r="G181" s="166"/>
      <c r="H181" s="167"/>
      <c r="I181" s="166"/>
      <c r="J181" s="168"/>
      <c r="K181" s="169"/>
    </row>
  </sheetData>
  <mergeCells count="39">
    <mergeCell ref="J5:K5"/>
    <mergeCell ref="C128:H128"/>
    <mergeCell ref="I128:K128"/>
    <mergeCell ref="C175:K175"/>
    <mergeCell ref="E6:K6"/>
    <mergeCell ref="E7:K7"/>
    <mergeCell ref="E8:J8"/>
    <mergeCell ref="E9:K9"/>
    <mergeCell ref="C10:J10"/>
    <mergeCell ref="D70:F70"/>
    <mergeCell ref="C85:J85"/>
    <mergeCell ref="D96:K96"/>
    <mergeCell ref="D87:I87"/>
    <mergeCell ref="D91:I91"/>
    <mergeCell ref="C51:J51"/>
    <mergeCell ref="D41:K41"/>
    <mergeCell ref="E44:H44"/>
    <mergeCell ref="E46:H46"/>
    <mergeCell ref="F45:G45"/>
    <mergeCell ref="C83:H83"/>
    <mergeCell ref="E3:H3"/>
    <mergeCell ref="E4:H4"/>
    <mergeCell ref="E5:H5"/>
    <mergeCell ref="C174:K174"/>
    <mergeCell ref="C139:K139"/>
    <mergeCell ref="C13:G13"/>
    <mergeCell ref="C14:G14"/>
    <mergeCell ref="D19:I19"/>
    <mergeCell ref="C130:J130"/>
    <mergeCell ref="D132:I132"/>
    <mergeCell ref="D29:K29"/>
    <mergeCell ref="D39:K39"/>
    <mergeCell ref="D30:G30"/>
    <mergeCell ref="D31:G31"/>
    <mergeCell ref="D32:G32"/>
    <mergeCell ref="D33:G33"/>
    <mergeCell ref="D36:G36"/>
    <mergeCell ref="D37:G37"/>
    <mergeCell ref="E43:H43"/>
  </mergeCells>
  <pageMargins left="0.51181102362204722" right="0.51181102362204722" top="0.78740157480314965" bottom="0.78740157480314965" header="0.31496062992125984" footer="0.31496062992125984"/>
  <pageSetup paperSize="9" scale="95" orientation="portrait" r:id="rId1"/>
  <headerFooter>
    <oddFooter>&amp;CFolha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42"/>
  <sheetViews>
    <sheetView topLeftCell="A225" zoomScale="80" zoomScaleNormal="80" workbookViewId="0">
      <selection activeCell="J246" sqref="J246"/>
    </sheetView>
  </sheetViews>
  <sheetFormatPr defaultRowHeight="15.75" x14ac:dyDescent="0.2"/>
  <cols>
    <col min="1" max="1" width="5" style="41" customWidth="1"/>
    <col min="2" max="2" width="8.42578125" style="444" customWidth="1"/>
    <col min="3" max="3" width="14" style="65" customWidth="1"/>
    <col min="4" max="4" width="51.5703125" style="41" customWidth="1"/>
    <col min="5" max="5" width="9" style="73" customWidth="1"/>
    <col min="6" max="7" width="9.85546875" style="225" customWidth="1"/>
    <col min="8" max="8" width="11.7109375" style="225" customWidth="1"/>
    <col min="9" max="9" width="12.28515625" style="225" bestFit="1" customWidth="1"/>
    <col min="10" max="10" width="11.85546875" style="226" customWidth="1"/>
    <col min="11" max="16384" width="9.140625" style="41"/>
  </cols>
  <sheetData>
    <row r="3" spans="1:10" ht="14.25" customHeight="1" x14ac:dyDescent="0.2">
      <c r="D3" s="66"/>
      <c r="E3" s="239"/>
      <c r="G3" s="81"/>
      <c r="H3" s="81"/>
      <c r="I3" s="81"/>
    </row>
    <row r="5" spans="1:10" ht="16.5" customHeight="1" x14ac:dyDescent="0.2">
      <c r="B5" s="445"/>
      <c r="C5" s="67"/>
      <c r="D5" s="666" t="s">
        <v>12</v>
      </c>
      <c r="E5" s="667"/>
      <c r="F5" s="667"/>
      <c r="G5" s="227"/>
      <c r="H5" s="255" t="s">
        <v>82</v>
      </c>
      <c r="I5" s="212" t="s">
        <v>84</v>
      </c>
      <c r="J5" s="256" t="s">
        <v>83</v>
      </c>
    </row>
    <row r="6" spans="1:10" ht="16.5" customHeight="1" x14ac:dyDescent="0.2">
      <c r="B6" s="446"/>
      <c r="C6" s="68"/>
      <c r="D6" s="668"/>
      <c r="E6" s="669"/>
      <c r="F6" s="669"/>
      <c r="G6" s="228"/>
      <c r="H6" s="255">
        <v>5.4482417038137689E-3</v>
      </c>
      <c r="I6" s="212" t="s">
        <v>150</v>
      </c>
      <c r="J6" s="257" t="s">
        <v>1182</v>
      </c>
    </row>
    <row r="7" spans="1:10" ht="16.5" customHeight="1" x14ac:dyDescent="0.2">
      <c r="B7" s="446"/>
      <c r="C7" s="68"/>
      <c r="D7" s="668" t="s">
        <v>9</v>
      </c>
      <c r="E7" s="670"/>
      <c r="F7" s="670"/>
      <c r="G7" s="229"/>
      <c r="H7" s="229"/>
      <c r="I7" s="81"/>
      <c r="J7" s="230"/>
    </row>
    <row r="8" spans="1:10" ht="29.25" customHeight="1" x14ac:dyDescent="0.2">
      <c r="B8" s="446"/>
      <c r="C8" s="68"/>
      <c r="D8" s="671" t="s">
        <v>148</v>
      </c>
      <c r="E8" s="672"/>
      <c r="F8" s="673"/>
      <c r="G8" s="265" t="s">
        <v>63</v>
      </c>
      <c r="H8" s="674" t="s">
        <v>173</v>
      </c>
      <c r="I8" s="675"/>
      <c r="J8" s="676"/>
    </row>
    <row r="9" spans="1:10" ht="29.25" customHeight="1" x14ac:dyDescent="0.2">
      <c r="B9" s="446"/>
      <c r="C9" s="68"/>
      <c r="D9" s="671" t="s">
        <v>149</v>
      </c>
      <c r="E9" s="672"/>
      <c r="F9" s="673"/>
      <c r="G9" s="266" t="s">
        <v>988</v>
      </c>
      <c r="H9" s="674" t="s">
        <v>895</v>
      </c>
      <c r="I9" s="675"/>
      <c r="J9" s="676"/>
    </row>
    <row r="10" spans="1:10" ht="29.25" customHeight="1" x14ac:dyDescent="0.2">
      <c r="B10" s="446"/>
      <c r="C10" s="68"/>
      <c r="D10" s="671" t="s">
        <v>1571</v>
      </c>
      <c r="E10" s="669"/>
      <c r="F10" s="673"/>
      <c r="G10" s="266" t="s">
        <v>64</v>
      </c>
      <c r="H10" s="674" t="s">
        <v>121</v>
      </c>
      <c r="I10" s="675"/>
      <c r="J10" s="676"/>
    </row>
    <row r="11" spans="1:10" ht="29.25" customHeight="1" x14ac:dyDescent="0.2">
      <c r="B11" s="446"/>
      <c r="C11" s="68"/>
      <c r="D11" s="677" t="s">
        <v>529</v>
      </c>
      <c r="E11" s="678"/>
      <c r="F11" s="679"/>
      <c r="G11" s="267" t="s">
        <v>65</v>
      </c>
      <c r="H11" s="680" t="s">
        <v>69</v>
      </c>
      <c r="I11" s="675"/>
      <c r="J11" s="676"/>
    </row>
    <row r="12" spans="1:10" ht="22.5" customHeight="1" x14ac:dyDescent="0.2">
      <c r="A12" s="47"/>
      <c r="B12" s="681" t="s">
        <v>10</v>
      </c>
      <c r="C12" s="682"/>
      <c r="D12" s="683"/>
      <c r="E12" s="683"/>
      <c r="F12" s="683"/>
      <c r="G12" s="682"/>
      <c r="H12" s="682"/>
      <c r="I12" s="682"/>
      <c r="J12" s="684"/>
    </row>
    <row r="13" spans="1:10" x14ac:dyDescent="0.2">
      <c r="A13" s="47"/>
      <c r="B13" s="447"/>
      <c r="C13" s="69"/>
      <c r="D13" s="69"/>
      <c r="E13" s="70"/>
      <c r="F13" s="231"/>
      <c r="G13" s="231"/>
      <c r="H13" s="231"/>
      <c r="I13" s="231"/>
      <c r="J13" s="232"/>
    </row>
    <row r="14" spans="1:10" x14ac:dyDescent="0.2">
      <c r="A14" s="47"/>
      <c r="B14" s="447"/>
      <c r="C14" s="69"/>
      <c r="D14" s="487"/>
      <c r="E14" s="70"/>
      <c r="F14" s="231"/>
      <c r="G14" s="231"/>
      <c r="H14" s="231"/>
      <c r="I14" s="237" t="s">
        <v>15</v>
      </c>
      <c r="J14" s="74">
        <v>1.2246999999999999</v>
      </c>
    </row>
    <row r="15" spans="1:10" s="52" customFormat="1" x14ac:dyDescent="0.2">
      <c r="A15" s="53"/>
      <c r="B15" s="447"/>
      <c r="C15" s="69"/>
      <c r="D15" s="487"/>
      <c r="E15" s="70"/>
      <c r="F15" s="231"/>
      <c r="G15" s="233"/>
      <c r="H15" s="233"/>
      <c r="I15" s="233"/>
      <c r="J15" s="234"/>
    </row>
    <row r="16" spans="1:10" ht="15.75" customHeight="1" x14ac:dyDescent="0.2">
      <c r="A16" s="47"/>
      <c r="B16" s="447"/>
      <c r="C16" s="69"/>
      <c r="D16" s="69"/>
      <c r="E16" s="70"/>
      <c r="F16" s="211"/>
      <c r="G16" s="663" t="s">
        <v>204</v>
      </c>
      <c r="H16" s="664"/>
      <c r="I16" s="664"/>
      <c r="J16" s="665"/>
    </row>
    <row r="17" spans="1:10" ht="15" customHeight="1" x14ac:dyDescent="0.2">
      <c r="A17" s="47"/>
      <c r="B17" s="689" t="s">
        <v>0</v>
      </c>
      <c r="C17" s="691" t="s">
        <v>11</v>
      </c>
      <c r="D17" s="693" t="s">
        <v>1</v>
      </c>
      <c r="E17" s="685" t="s">
        <v>2</v>
      </c>
      <c r="F17" s="685" t="s">
        <v>3</v>
      </c>
      <c r="G17" s="685" t="s">
        <v>13</v>
      </c>
      <c r="H17" s="685" t="s">
        <v>119</v>
      </c>
      <c r="I17" s="685" t="s">
        <v>14</v>
      </c>
      <c r="J17" s="687" t="s">
        <v>6</v>
      </c>
    </row>
    <row r="18" spans="1:10" ht="12" x14ac:dyDescent="0.2">
      <c r="A18" s="47"/>
      <c r="B18" s="690"/>
      <c r="C18" s="692"/>
      <c r="D18" s="694"/>
      <c r="E18" s="695"/>
      <c r="F18" s="695"/>
      <c r="G18" s="695"/>
      <c r="H18" s="686"/>
      <c r="I18" s="686"/>
      <c r="J18" s="688"/>
    </row>
    <row r="19" spans="1:10" ht="18.75" x14ac:dyDescent="0.2">
      <c r="A19" s="47"/>
      <c r="B19" s="451" t="s">
        <v>89</v>
      </c>
      <c r="C19" s="489"/>
      <c r="D19" s="51" t="s">
        <v>462</v>
      </c>
      <c r="E19" s="326"/>
      <c r="F19" s="55"/>
      <c r="G19" s="55"/>
      <c r="H19" s="54"/>
      <c r="I19" s="54"/>
      <c r="J19" s="235"/>
    </row>
    <row r="20" spans="1:10" ht="48.75" customHeight="1" x14ac:dyDescent="0.2">
      <c r="A20" s="47"/>
      <c r="B20" s="451" t="s">
        <v>90</v>
      </c>
      <c r="C20" s="49" t="s">
        <v>1470</v>
      </c>
      <c r="D20" s="58" t="s">
        <v>987</v>
      </c>
      <c r="E20" s="337" t="s">
        <v>16</v>
      </c>
      <c r="F20" s="55">
        <v>12</v>
      </c>
      <c r="G20" s="55">
        <v>334.59</v>
      </c>
      <c r="H20" s="54">
        <f>TRUNC(G20*$J$14,2)</f>
        <v>409.77</v>
      </c>
      <c r="I20" s="54">
        <f>TRUNC(F20*H20,2)</f>
        <v>4917.24</v>
      </c>
      <c r="J20" s="56">
        <f>(I20/$I$237)*100</f>
        <v>1.6755125686953878</v>
      </c>
    </row>
    <row r="21" spans="1:10" ht="96.75" customHeight="1" x14ac:dyDescent="0.2">
      <c r="A21" s="47"/>
      <c r="B21" s="451" t="s">
        <v>91</v>
      </c>
      <c r="C21" s="49" t="s">
        <v>1418</v>
      </c>
      <c r="D21" s="58" t="s">
        <v>910</v>
      </c>
      <c r="E21" s="337" t="s">
        <v>906</v>
      </c>
      <c r="F21" s="55">
        <v>4</v>
      </c>
      <c r="G21" s="55">
        <v>800</v>
      </c>
      <c r="H21" s="54">
        <f t="shared" ref="H21:H23" si="0">TRUNC(G21*$J$14,2)</f>
        <v>979.76</v>
      </c>
      <c r="I21" s="54">
        <f t="shared" ref="I21:I23" si="1">TRUNC(F21*H21,2)</f>
        <v>3919.04</v>
      </c>
      <c r="J21" s="56">
        <f>(I21/$I$237)*100</f>
        <v>1.3353834218423288</v>
      </c>
    </row>
    <row r="22" spans="1:10" ht="105.75" customHeight="1" x14ac:dyDescent="0.2">
      <c r="A22" s="47"/>
      <c r="B22" s="451" t="s">
        <v>92</v>
      </c>
      <c r="C22" s="79" t="s">
        <v>1419</v>
      </c>
      <c r="D22" s="260" t="s">
        <v>920</v>
      </c>
      <c r="E22" s="75" t="s">
        <v>16</v>
      </c>
      <c r="F22" s="354">
        <v>3.99</v>
      </c>
      <c r="G22" s="354">
        <v>29.68</v>
      </c>
      <c r="H22" s="54">
        <f t="shared" si="0"/>
        <v>36.340000000000003</v>
      </c>
      <c r="I22" s="54">
        <f t="shared" si="1"/>
        <v>144.99</v>
      </c>
      <c r="J22" s="56">
        <f>(I22/$I$237)*100</f>
        <v>4.9404252657007659E-2</v>
      </c>
    </row>
    <row r="23" spans="1:10" ht="88.5" customHeight="1" x14ac:dyDescent="0.2">
      <c r="A23" s="47"/>
      <c r="B23" s="451" t="s">
        <v>93</v>
      </c>
      <c r="C23" s="49" t="s">
        <v>1420</v>
      </c>
      <c r="D23" s="50" t="s">
        <v>916</v>
      </c>
      <c r="E23" s="337" t="s">
        <v>16</v>
      </c>
      <c r="F23" s="355">
        <v>19</v>
      </c>
      <c r="G23" s="355">
        <v>18.010000000000002</v>
      </c>
      <c r="H23" s="54">
        <f t="shared" si="0"/>
        <v>22.05</v>
      </c>
      <c r="I23" s="54">
        <f t="shared" si="1"/>
        <v>418.95</v>
      </c>
      <c r="J23" s="56">
        <f>(I23/$I$237)*100</f>
        <v>0.14275406338818783</v>
      </c>
    </row>
    <row r="24" spans="1:10" ht="15" customHeight="1" x14ac:dyDescent="0.2">
      <c r="A24" s="47"/>
      <c r="B24" s="452"/>
      <c r="C24" s="71"/>
      <c r="D24" s="72" t="s">
        <v>17</v>
      </c>
      <c r="E24" s="315"/>
      <c r="F24" s="293"/>
      <c r="G24" s="293"/>
      <c r="H24" s="293"/>
      <c r="I24" s="316">
        <f>SUM(I20:I23)</f>
        <v>9400.2199999999993</v>
      </c>
      <c r="J24" s="235">
        <f>(I24/$I$237)*100</f>
        <v>3.2030543065829122</v>
      </c>
    </row>
    <row r="25" spans="1:10" ht="18.75" x14ac:dyDescent="0.2">
      <c r="A25" s="47"/>
      <c r="B25" s="451" t="s">
        <v>205</v>
      </c>
      <c r="C25" s="489"/>
      <c r="D25" s="51" t="s">
        <v>395</v>
      </c>
      <c r="E25" s="326"/>
      <c r="F25" s="55"/>
      <c r="G25" s="55"/>
      <c r="H25" s="54"/>
      <c r="I25" s="54"/>
      <c r="J25" s="235"/>
    </row>
    <row r="26" spans="1:10" ht="33" customHeight="1" x14ac:dyDescent="0.2">
      <c r="A26" s="47"/>
      <c r="B26" s="451" t="s">
        <v>1014</v>
      </c>
      <c r="C26" s="49" t="s">
        <v>1471</v>
      </c>
      <c r="D26" s="58" t="s">
        <v>498</v>
      </c>
      <c r="E26" s="337" t="s">
        <v>18</v>
      </c>
      <c r="F26" s="55">
        <v>103.44</v>
      </c>
      <c r="G26" s="55">
        <v>2.4</v>
      </c>
      <c r="H26" s="54">
        <f t="shared" ref="H26:H31" si="2">TRUNC(G26*$J$14,2)</f>
        <v>2.93</v>
      </c>
      <c r="I26" s="54">
        <f t="shared" ref="I26:I31" si="3">TRUNC(F26*H26,2)</f>
        <v>303.07</v>
      </c>
      <c r="J26" s="56">
        <f t="shared" ref="J26:J32" si="4">(I26/$I$237)*100</f>
        <v>0.1032688244207139</v>
      </c>
    </row>
    <row r="27" spans="1:10" ht="42.75" customHeight="1" x14ac:dyDescent="0.2">
      <c r="A27" s="47"/>
      <c r="B27" s="451" t="s">
        <v>1015</v>
      </c>
      <c r="C27" s="49" t="s">
        <v>1472</v>
      </c>
      <c r="D27" s="58" t="s">
        <v>946</v>
      </c>
      <c r="E27" s="337" t="s">
        <v>16</v>
      </c>
      <c r="F27" s="55">
        <v>257.76</v>
      </c>
      <c r="G27" s="55">
        <v>11.59</v>
      </c>
      <c r="H27" s="54">
        <f t="shared" si="2"/>
        <v>14.19</v>
      </c>
      <c r="I27" s="54">
        <f t="shared" si="3"/>
        <v>3657.61</v>
      </c>
      <c r="J27" s="56">
        <f t="shared" si="4"/>
        <v>1.2463031144271866</v>
      </c>
    </row>
    <row r="28" spans="1:10" ht="32.25" customHeight="1" x14ac:dyDescent="0.2">
      <c r="A28" s="47"/>
      <c r="B28" s="451" t="s">
        <v>1016</v>
      </c>
      <c r="C28" s="49" t="s">
        <v>1473</v>
      </c>
      <c r="D28" s="58" t="s">
        <v>501</v>
      </c>
      <c r="E28" s="337" t="s">
        <v>19</v>
      </c>
      <c r="F28" s="55">
        <v>16.04</v>
      </c>
      <c r="G28" s="55">
        <v>51.8</v>
      </c>
      <c r="H28" s="54">
        <f t="shared" si="2"/>
        <v>63.43</v>
      </c>
      <c r="I28" s="54">
        <f t="shared" si="3"/>
        <v>1017.41</v>
      </c>
      <c r="J28" s="56">
        <f t="shared" si="4"/>
        <v>0.34667480995769467</v>
      </c>
    </row>
    <row r="29" spans="1:10" ht="43.5" customHeight="1" x14ac:dyDescent="0.2">
      <c r="A29" s="47"/>
      <c r="B29" s="451" t="s">
        <v>1017</v>
      </c>
      <c r="C29" s="62" t="s">
        <v>1474</v>
      </c>
      <c r="D29" s="58" t="s">
        <v>947</v>
      </c>
      <c r="E29" s="337" t="s">
        <v>16</v>
      </c>
      <c r="F29" s="55">
        <v>107.46</v>
      </c>
      <c r="G29" s="55">
        <v>16.16</v>
      </c>
      <c r="H29" s="54">
        <f t="shared" si="2"/>
        <v>19.79</v>
      </c>
      <c r="I29" s="54">
        <f t="shared" si="3"/>
        <v>2126.63</v>
      </c>
      <c r="J29" s="56">
        <f t="shared" si="4"/>
        <v>0.72463318730927773</v>
      </c>
    </row>
    <row r="30" spans="1:10" ht="43.5" customHeight="1" x14ac:dyDescent="0.2">
      <c r="A30" s="47"/>
      <c r="B30" s="451" t="s">
        <v>1018</v>
      </c>
      <c r="C30" s="219" t="s">
        <v>1475</v>
      </c>
      <c r="D30" s="58" t="s">
        <v>839</v>
      </c>
      <c r="E30" s="338" t="s">
        <v>16</v>
      </c>
      <c r="F30" s="76">
        <v>15.42</v>
      </c>
      <c r="G30" s="76">
        <v>3.03</v>
      </c>
      <c r="H30" s="76">
        <f t="shared" si="2"/>
        <v>3.71</v>
      </c>
      <c r="I30" s="76">
        <f t="shared" si="3"/>
        <v>57.2</v>
      </c>
      <c r="J30" s="56">
        <f t="shared" si="4"/>
        <v>1.9490470046077919E-2</v>
      </c>
    </row>
    <row r="31" spans="1:10" ht="76.5" customHeight="1" x14ac:dyDescent="0.2">
      <c r="A31" s="47"/>
      <c r="B31" s="451" t="s">
        <v>1019</v>
      </c>
      <c r="C31" s="49" t="s">
        <v>1421</v>
      </c>
      <c r="D31" s="58" t="s">
        <v>538</v>
      </c>
      <c r="E31" s="338" t="s">
        <v>22</v>
      </c>
      <c r="F31" s="60">
        <v>9</v>
      </c>
      <c r="G31" s="60">
        <v>238.08</v>
      </c>
      <c r="H31" s="237">
        <f t="shared" si="2"/>
        <v>291.57</v>
      </c>
      <c r="I31" s="237">
        <f t="shared" si="3"/>
        <v>2624.13</v>
      </c>
      <c r="J31" s="56">
        <f t="shared" si="4"/>
        <v>0.89415257276249049</v>
      </c>
    </row>
    <row r="32" spans="1:10" ht="20.100000000000001" customHeight="1" x14ac:dyDescent="0.2">
      <c r="A32" s="47"/>
      <c r="B32" s="452"/>
      <c r="C32" s="71"/>
      <c r="D32" s="72" t="s">
        <v>17</v>
      </c>
      <c r="E32" s="315"/>
      <c r="F32" s="293"/>
      <c r="G32" s="293"/>
      <c r="H32" s="293"/>
      <c r="I32" s="316">
        <f>SUM(I26:I31)</f>
        <v>9786.0499999999993</v>
      </c>
      <c r="J32" s="235">
        <f t="shared" si="4"/>
        <v>3.3345229789234412</v>
      </c>
    </row>
    <row r="33" spans="1:10" ht="18.75" x14ac:dyDescent="0.2">
      <c r="A33" s="47"/>
      <c r="B33" s="451" t="s">
        <v>98</v>
      </c>
      <c r="C33" s="489"/>
      <c r="D33" s="466" t="s">
        <v>396</v>
      </c>
      <c r="E33" s="326"/>
      <c r="F33" s="55"/>
      <c r="G33" s="55"/>
      <c r="H33" s="54"/>
      <c r="I33" s="54"/>
      <c r="J33" s="235"/>
    </row>
    <row r="34" spans="1:10" ht="36.75" customHeight="1" x14ac:dyDescent="0.2">
      <c r="A34" s="47"/>
      <c r="B34" s="451" t="s">
        <v>1020</v>
      </c>
      <c r="C34" s="49" t="s">
        <v>1476</v>
      </c>
      <c r="D34" s="339" t="s">
        <v>948</v>
      </c>
      <c r="E34" s="337" t="s">
        <v>16</v>
      </c>
      <c r="F34" s="55">
        <v>43.36</v>
      </c>
      <c r="G34" s="55">
        <v>31.33</v>
      </c>
      <c r="H34" s="54">
        <f t="shared" ref="H34:H48" si="5">TRUNC(G34*$J$14,2)</f>
        <v>38.36</v>
      </c>
      <c r="I34" s="54">
        <f t="shared" ref="I34:I48" si="6">TRUNC(F34*H34,2)</f>
        <v>1663.28</v>
      </c>
      <c r="J34" s="56">
        <f t="shared" ref="J34:J49" si="7">(I34/$I$237)*100</f>
        <v>0.5667501576615469</v>
      </c>
    </row>
    <row r="35" spans="1:10" ht="44.25" customHeight="1" x14ac:dyDescent="0.2">
      <c r="A35" s="47"/>
      <c r="B35" s="451" t="s">
        <v>1021</v>
      </c>
      <c r="C35" s="5" t="s">
        <v>1477</v>
      </c>
      <c r="D35" s="339" t="s">
        <v>949</v>
      </c>
      <c r="E35" s="338" t="s">
        <v>16</v>
      </c>
      <c r="F35" s="60">
        <v>31.96</v>
      </c>
      <c r="G35" s="60">
        <v>29.27</v>
      </c>
      <c r="H35" s="237">
        <f t="shared" si="5"/>
        <v>35.840000000000003</v>
      </c>
      <c r="I35" s="237">
        <f t="shared" si="6"/>
        <v>1145.44</v>
      </c>
      <c r="J35" s="56">
        <f t="shared" si="7"/>
        <v>0.39030007009754358</v>
      </c>
    </row>
    <row r="36" spans="1:10" ht="49.5" customHeight="1" x14ac:dyDescent="0.2">
      <c r="A36" s="47"/>
      <c r="B36" s="451" t="s">
        <v>1022</v>
      </c>
      <c r="C36" s="5" t="s">
        <v>1478</v>
      </c>
      <c r="D36" s="58" t="s">
        <v>540</v>
      </c>
      <c r="E36" s="338" t="s">
        <v>16</v>
      </c>
      <c r="F36" s="60">
        <v>3.03</v>
      </c>
      <c r="G36" s="60">
        <v>32.06</v>
      </c>
      <c r="H36" s="237">
        <f t="shared" si="5"/>
        <v>39.26</v>
      </c>
      <c r="I36" s="237">
        <f t="shared" si="6"/>
        <v>118.95</v>
      </c>
      <c r="J36" s="56">
        <f t="shared" si="7"/>
        <v>4.0531318391275675E-2</v>
      </c>
    </row>
    <row r="37" spans="1:10" ht="32.25" customHeight="1" x14ac:dyDescent="0.2">
      <c r="A37" s="47"/>
      <c r="B37" s="451" t="s">
        <v>1023</v>
      </c>
      <c r="C37" s="49" t="s">
        <v>1479</v>
      </c>
      <c r="D37" s="58" t="s">
        <v>474</v>
      </c>
      <c r="E37" s="337" t="s">
        <v>16</v>
      </c>
      <c r="F37" s="55">
        <v>27.67</v>
      </c>
      <c r="G37" s="55">
        <v>8.43</v>
      </c>
      <c r="H37" s="237">
        <f t="shared" si="5"/>
        <v>10.32</v>
      </c>
      <c r="I37" s="237">
        <f t="shared" si="6"/>
        <v>285.55</v>
      </c>
      <c r="J37" s="56">
        <f t="shared" si="7"/>
        <v>9.7299016112894238E-2</v>
      </c>
    </row>
    <row r="38" spans="1:10" ht="30.75" customHeight="1" x14ac:dyDescent="0.2">
      <c r="A38" s="47"/>
      <c r="B38" s="451" t="s">
        <v>1024</v>
      </c>
      <c r="C38" s="49" t="s">
        <v>1480</v>
      </c>
      <c r="D38" s="58" t="s">
        <v>476</v>
      </c>
      <c r="E38" s="337" t="s">
        <v>16</v>
      </c>
      <c r="F38" s="55">
        <v>6.46</v>
      </c>
      <c r="G38" s="55">
        <v>24.38</v>
      </c>
      <c r="H38" s="54">
        <f t="shared" si="5"/>
        <v>29.85</v>
      </c>
      <c r="I38" s="54">
        <f t="shared" si="6"/>
        <v>192.83</v>
      </c>
      <c r="J38" s="56">
        <f t="shared" si="7"/>
        <v>6.5705373059181921E-2</v>
      </c>
    </row>
    <row r="39" spans="1:10" ht="34.5" customHeight="1" x14ac:dyDescent="0.2">
      <c r="A39" s="47"/>
      <c r="B39" s="451" t="s">
        <v>1025</v>
      </c>
      <c r="C39" s="49" t="s">
        <v>1481</v>
      </c>
      <c r="D39" s="58" t="s">
        <v>950</v>
      </c>
      <c r="E39" s="337" t="s">
        <v>16</v>
      </c>
      <c r="F39" s="55">
        <v>1.73</v>
      </c>
      <c r="G39" s="55">
        <v>24.38</v>
      </c>
      <c r="H39" s="54">
        <f t="shared" si="5"/>
        <v>29.85</v>
      </c>
      <c r="I39" s="54">
        <f t="shared" si="6"/>
        <v>51.64</v>
      </c>
      <c r="J39" s="56">
        <f t="shared" si="7"/>
        <v>1.7595941838801817E-2</v>
      </c>
    </row>
    <row r="40" spans="1:10" ht="32.25" customHeight="1" x14ac:dyDescent="0.2">
      <c r="A40" s="47"/>
      <c r="B40" s="451" t="s">
        <v>1026</v>
      </c>
      <c r="C40" s="49" t="s">
        <v>1422</v>
      </c>
      <c r="D40" s="58" t="s">
        <v>480</v>
      </c>
      <c r="E40" s="337" t="s">
        <v>18</v>
      </c>
      <c r="F40" s="55">
        <v>4.59</v>
      </c>
      <c r="G40" s="55">
        <v>46.47</v>
      </c>
      <c r="H40" s="54">
        <f t="shared" si="5"/>
        <v>56.91</v>
      </c>
      <c r="I40" s="54">
        <f t="shared" si="6"/>
        <v>261.20999999999998</v>
      </c>
      <c r="J40" s="56">
        <f t="shared" si="7"/>
        <v>8.9005344068811415E-2</v>
      </c>
    </row>
    <row r="41" spans="1:10" ht="27.75" customHeight="1" x14ac:dyDescent="0.2">
      <c r="A41" s="47"/>
      <c r="B41" s="451" t="s">
        <v>1027</v>
      </c>
      <c r="C41" s="49" t="s">
        <v>1482</v>
      </c>
      <c r="D41" s="58" t="s">
        <v>482</v>
      </c>
      <c r="E41" s="337" t="s">
        <v>22</v>
      </c>
      <c r="F41" s="55">
        <v>20</v>
      </c>
      <c r="G41" s="55">
        <v>8.1199999999999992</v>
      </c>
      <c r="H41" s="54">
        <f t="shared" si="5"/>
        <v>9.94</v>
      </c>
      <c r="I41" s="54">
        <f t="shared" si="6"/>
        <v>198.8</v>
      </c>
      <c r="J41" s="56">
        <f t="shared" si="7"/>
        <v>6.7739605684620466E-2</v>
      </c>
    </row>
    <row r="42" spans="1:10" ht="31.5" customHeight="1" x14ac:dyDescent="0.2">
      <c r="A42" s="47"/>
      <c r="B42" s="451" t="s">
        <v>1028</v>
      </c>
      <c r="C42" s="49" t="s">
        <v>1483</v>
      </c>
      <c r="D42" s="58" t="s">
        <v>484</v>
      </c>
      <c r="E42" s="337" t="s">
        <v>22</v>
      </c>
      <c r="F42" s="55">
        <v>15</v>
      </c>
      <c r="G42" s="55">
        <v>11.13</v>
      </c>
      <c r="H42" s="54">
        <f t="shared" si="5"/>
        <v>13.63</v>
      </c>
      <c r="I42" s="54">
        <f t="shared" si="6"/>
        <v>204.45</v>
      </c>
      <c r="J42" s="56">
        <f t="shared" si="7"/>
        <v>6.9664800715395631E-2</v>
      </c>
    </row>
    <row r="43" spans="1:10" ht="30.75" customHeight="1" x14ac:dyDescent="0.2">
      <c r="A43" s="47"/>
      <c r="B43" s="451" t="s">
        <v>1029</v>
      </c>
      <c r="C43" s="49" t="s">
        <v>1484</v>
      </c>
      <c r="D43" s="58" t="s">
        <v>486</v>
      </c>
      <c r="E43" s="337" t="s">
        <v>22</v>
      </c>
      <c r="F43" s="55">
        <v>51</v>
      </c>
      <c r="G43" s="55">
        <v>0.6</v>
      </c>
      <c r="H43" s="54">
        <f t="shared" si="5"/>
        <v>0.73</v>
      </c>
      <c r="I43" s="54">
        <f t="shared" si="6"/>
        <v>37.229999999999997</v>
      </c>
      <c r="J43" s="56">
        <f t="shared" si="7"/>
        <v>1.2685842654116798E-2</v>
      </c>
    </row>
    <row r="44" spans="1:10" ht="30" customHeight="1" x14ac:dyDescent="0.2">
      <c r="A44" s="47"/>
      <c r="B44" s="451" t="s">
        <v>1030</v>
      </c>
      <c r="C44" s="49" t="s">
        <v>1485</v>
      </c>
      <c r="D44" s="58" t="s">
        <v>488</v>
      </c>
      <c r="E44" s="337" t="s">
        <v>22</v>
      </c>
      <c r="F44" s="55">
        <v>32</v>
      </c>
      <c r="G44" s="55">
        <v>1.29</v>
      </c>
      <c r="H44" s="54">
        <f t="shared" si="5"/>
        <v>1.57</v>
      </c>
      <c r="I44" s="54">
        <f t="shared" si="6"/>
        <v>50.24</v>
      </c>
      <c r="J44" s="56">
        <f t="shared" si="7"/>
        <v>1.7118902362149559E-2</v>
      </c>
    </row>
    <row r="45" spans="1:10" ht="30" customHeight="1" x14ac:dyDescent="0.2">
      <c r="B45" s="451" t="s">
        <v>1031</v>
      </c>
      <c r="C45" s="49" t="s">
        <v>1486</v>
      </c>
      <c r="D45" s="58" t="s">
        <v>951</v>
      </c>
      <c r="E45" s="337" t="s">
        <v>22</v>
      </c>
      <c r="F45" s="80">
        <v>8</v>
      </c>
      <c r="G45" s="80">
        <v>1.17</v>
      </c>
      <c r="H45" s="80">
        <f t="shared" si="5"/>
        <v>1.43</v>
      </c>
      <c r="I45" s="80">
        <f t="shared" si="6"/>
        <v>11.44</v>
      </c>
      <c r="J45" s="56">
        <f t="shared" si="7"/>
        <v>3.8980940092155835E-3</v>
      </c>
    </row>
    <row r="46" spans="1:10" ht="31.5" customHeight="1" x14ac:dyDescent="0.2">
      <c r="B46" s="451" t="s">
        <v>1032</v>
      </c>
      <c r="C46" s="49" t="s">
        <v>1487</v>
      </c>
      <c r="D46" s="58" t="s">
        <v>20</v>
      </c>
      <c r="E46" s="337" t="s">
        <v>19</v>
      </c>
      <c r="F46" s="80">
        <v>18</v>
      </c>
      <c r="G46" s="80">
        <v>23.09</v>
      </c>
      <c r="H46" s="80">
        <f t="shared" si="5"/>
        <v>28.27</v>
      </c>
      <c r="I46" s="80">
        <f t="shared" si="6"/>
        <v>508.86</v>
      </c>
      <c r="J46" s="56">
        <f t="shared" si="7"/>
        <v>0.17339022006376242</v>
      </c>
    </row>
    <row r="47" spans="1:10" ht="42" customHeight="1" x14ac:dyDescent="0.2">
      <c r="B47" s="451" t="s">
        <v>1033</v>
      </c>
      <c r="C47" s="57" t="s">
        <v>1488</v>
      </c>
      <c r="D47" s="64" t="s">
        <v>97</v>
      </c>
      <c r="E47" s="340" t="s">
        <v>21</v>
      </c>
      <c r="F47" s="285">
        <v>104.4</v>
      </c>
      <c r="G47" s="285">
        <v>1.58</v>
      </c>
      <c r="H47" s="285">
        <f t="shared" si="5"/>
        <v>1.93</v>
      </c>
      <c r="I47" s="80">
        <f t="shared" si="6"/>
        <v>201.49</v>
      </c>
      <c r="J47" s="56">
        <f t="shared" si="7"/>
        <v>6.8656202964759439E-2</v>
      </c>
    </row>
    <row r="48" spans="1:10" ht="25.5" customHeight="1" x14ac:dyDescent="0.2">
      <c r="B48" s="451" t="s">
        <v>1034</v>
      </c>
      <c r="C48" s="5" t="s">
        <v>1487</v>
      </c>
      <c r="D48" s="58" t="s">
        <v>952</v>
      </c>
      <c r="E48" s="338" t="s">
        <v>19</v>
      </c>
      <c r="F48" s="80">
        <v>18</v>
      </c>
      <c r="G48" s="80">
        <v>11.545</v>
      </c>
      <c r="H48" s="80">
        <f t="shared" si="5"/>
        <v>14.13</v>
      </c>
      <c r="I48" s="80">
        <f t="shared" si="6"/>
        <v>254.34</v>
      </c>
      <c r="J48" s="56">
        <f t="shared" si="7"/>
        <v>8.6664443208382139E-2</v>
      </c>
    </row>
    <row r="49" spans="1:10" ht="15" customHeight="1" x14ac:dyDescent="0.2">
      <c r="A49" s="47"/>
      <c r="B49" s="452"/>
      <c r="C49" s="71"/>
      <c r="D49" s="72" t="s">
        <v>17</v>
      </c>
      <c r="E49" s="315"/>
      <c r="F49" s="293"/>
      <c r="G49" s="293"/>
      <c r="H49" s="293"/>
      <c r="I49" s="316">
        <f>SUM(I34:I48)</f>
        <v>5185.7499999999991</v>
      </c>
      <c r="J49" s="235">
        <f t="shared" si="7"/>
        <v>1.7670053328924573</v>
      </c>
    </row>
    <row r="50" spans="1:10" ht="18.75" customHeight="1" x14ac:dyDescent="0.2">
      <c r="B50" s="450" t="s">
        <v>99</v>
      </c>
      <c r="C50" s="224"/>
      <c r="D50" s="48" t="s">
        <v>514</v>
      </c>
      <c r="E50" s="74"/>
      <c r="F50" s="317"/>
      <c r="G50" s="317"/>
      <c r="H50" s="287"/>
      <c r="I50" s="318"/>
      <c r="J50" s="235"/>
    </row>
    <row r="51" spans="1:10" ht="83.25" customHeight="1" x14ac:dyDescent="0.2">
      <c r="B51" s="450" t="s">
        <v>1035</v>
      </c>
      <c r="C51" s="224" t="s">
        <v>1423</v>
      </c>
      <c r="D51" s="58" t="s">
        <v>614</v>
      </c>
      <c r="E51" s="341" t="s">
        <v>16</v>
      </c>
      <c r="F51" s="237">
        <v>248.39</v>
      </c>
      <c r="G51" s="237">
        <v>45.68</v>
      </c>
      <c r="H51" s="80">
        <f>TRUNC(G51*$J$14,2)</f>
        <v>55.94</v>
      </c>
      <c r="I51" s="80">
        <f>TRUNC(F51*H51,2)</f>
        <v>13894.93</v>
      </c>
      <c r="J51" s="56">
        <f>(I51/$I$237)*100</f>
        <v>4.7345929537998162</v>
      </c>
    </row>
    <row r="52" spans="1:10" ht="75.75" customHeight="1" x14ac:dyDescent="0.2">
      <c r="B52" s="450" t="s">
        <v>1036</v>
      </c>
      <c r="C52" s="224" t="s">
        <v>1489</v>
      </c>
      <c r="D52" s="58" t="s">
        <v>953</v>
      </c>
      <c r="E52" s="341" t="s">
        <v>16</v>
      </c>
      <c r="F52" s="237">
        <v>8.64</v>
      </c>
      <c r="G52" s="237">
        <v>328.75</v>
      </c>
      <c r="H52" s="80">
        <f>TRUNC(G52*$J$14,2)</f>
        <v>402.62</v>
      </c>
      <c r="I52" s="80">
        <f>TRUNC(F52*H52,2)</f>
        <v>3478.63</v>
      </c>
      <c r="J52" s="56">
        <f>(I52/$I$237)*100</f>
        <v>1.1853170247620286</v>
      </c>
    </row>
    <row r="53" spans="1:10" ht="29.25" customHeight="1" x14ac:dyDescent="0.2">
      <c r="B53" s="450" t="s">
        <v>1037</v>
      </c>
      <c r="C53" s="224" t="s">
        <v>1490</v>
      </c>
      <c r="D53" s="58" t="s">
        <v>626</v>
      </c>
      <c r="E53" s="341" t="s">
        <v>18</v>
      </c>
      <c r="F53" s="80">
        <v>76.3</v>
      </c>
      <c r="G53" s="80">
        <v>53.05</v>
      </c>
      <c r="H53" s="80">
        <f t="shared" ref="H53:H54" si="8">TRUNC(G53*$J$14,2)</f>
        <v>64.97</v>
      </c>
      <c r="I53" s="80">
        <f t="shared" ref="I53:I54" si="9">TRUNC(F53*H53,2)</f>
        <v>4957.21</v>
      </c>
      <c r="J53" s="56">
        <f>(I53/$I$237)*100</f>
        <v>1.6891320457538099</v>
      </c>
    </row>
    <row r="54" spans="1:10" ht="30.75" customHeight="1" x14ac:dyDescent="0.2">
      <c r="B54" s="450" t="s">
        <v>1038</v>
      </c>
      <c r="C54" s="224" t="s">
        <v>1491</v>
      </c>
      <c r="D54" s="58" t="s">
        <v>624</v>
      </c>
      <c r="E54" s="341" t="s">
        <v>18</v>
      </c>
      <c r="F54" s="80">
        <v>32.200000000000003</v>
      </c>
      <c r="G54" s="80">
        <v>49.86</v>
      </c>
      <c r="H54" s="80">
        <f t="shared" si="8"/>
        <v>61.06</v>
      </c>
      <c r="I54" s="80">
        <f t="shared" si="9"/>
        <v>1966.13</v>
      </c>
      <c r="J54" s="56">
        <f>(I54/$I$237)*100</f>
        <v>0.66994401873592979</v>
      </c>
    </row>
    <row r="55" spans="1:10" ht="15" customHeight="1" x14ac:dyDescent="0.2">
      <c r="A55" s="47"/>
      <c r="B55" s="452"/>
      <c r="C55" s="71"/>
      <c r="D55" s="72" t="s">
        <v>17</v>
      </c>
      <c r="E55" s="315"/>
      <c r="F55" s="293"/>
      <c r="G55" s="293"/>
      <c r="H55" s="293"/>
      <c r="I55" s="316">
        <f>SUM(I51:I54)</f>
        <v>24296.9</v>
      </c>
      <c r="J55" s="235">
        <f>(I55/$I$237)*100</f>
        <v>8.2789860430515851</v>
      </c>
    </row>
    <row r="56" spans="1:10" ht="18.75" x14ac:dyDescent="0.2">
      <c r="A56" s="47"/>
      <c r="B56" s="451" t="s">
        <v>100</v>
      </c>
      <c r="C56" s="489"/>
      <c r="D56" s="48" t="s">
        <v>66</v>
      </c>
      <c r="E56" s="326"/>
      <c r="F56" s="55"/>
      <c r="G56" s="55"/>
      <c r="H56" s="54"/>
      <c r="I56" s="54"/>
      <c r="J56" s="235"/>
    </row>
    <row r="57" spans="1:10" ht="68.25" customHeight="1" x14ac:dyDescent="0.2">
      <c r="A57" s="47"/>
      <c r="B57" s="451" t="s">
        <v>1039</v>
      </c>
      <c r="C57" s="49" t="s">
        <v>1492</v>
      </c>
      <c r="D57" s="50" t="s">
        <v>542</v>
      </c>
      <c r="E57" s="326" t="s">
        <v>22</v>
      </c>
      <c r="F57" s="55">
        <v>61</v>
      </c>
      <c r="G57" s="55">
        <v>136.08000000000001</v>
      </c>
      <c r="H57" s="54">
        <f>TRUNC(G57*$J$14,2)</f>
        <v>166.65</v>
      </c>
      <c r="I57" s="54">
        <f>TRUNC(F57*H57,2)</f>
        <v>10165.65</v>
      </c>
      <c r="J57" s="56">
        <f t="shared" ref="J57:J77" si="10">(I57/$I$237)*100</f>
        <v>3.4638688255928676</v>
      </c>
    </row>
    <row r="58" spans="1:10" ht="54" customHeight="1" x14ac:dyDescent="0.2">
      <c r="A58" s="47"/>
      <c r="B58" s="451" t="s">
        <v>1040</v>
      </c>
      <c r="C58" s="49" t="s">
        <v>1493</v>
      </c>
      <c r="D58" s="50" t="s">
        <v>543</v>
      </c>
      <c r="E58" s="326" t="s">
        <v>22</v>
      </c>
      <c r="F58" s="55">
        <v>40</v>
      </c>
      <c r="G58" s="55">
        <v>152.56</v>
      </c>
      <c r="H58" s="54">
        <f>TRUNC(G58*$J$14,2)</f>
        <v>186.84</v>
      </c>
      <c r="I58" s="54">
        <f>TRUNC(F58*H58,2)</f>
        <v>7473.6</v>
      </c>
      <c r="J58" s="56">
        <f t="shared" si="10"/>
        <v>2.5465730233630759</v>
      </c>
    </row>
    <row r="59" spans="1:10" ht="48" x14ac:dyDescent="0.2">
      <c r="A59" s="47"/>
      <c r="B59" s="451" t="s">
        <v>1041</v>
      </c>
      <c r="C59" s="49" t="s">
        <v>1494</v>
      </c>
      <c r="D59" s="50" t="s">
        <v>545</v>
      </c>
      <c r="E59" s="326" t="s">
        <v>22</v>
      </c>
      <c r="F59" s="55">
        <v>9</v>
      </c>
      <c r="G59" s="55">
        <v>173.73</v>
      </c>
      <c r="H59" s="54">
        <f>TRUNC(G59*$J$14,2)</f>
        <v>212.76</v>
      </c>
      <c r="I59" s="54">
        <f>TRUNC(F59*H59,2)</f>
        <v>1914.84</v>
      </c>
      <c r="J59" s="56">
        <f t="shared" si="10"/>
        <v>0.65246733676629098</v>
      </c>
    </row>
    <row r="60" spans="1:10" ht="66" customHeight="1" x14ac:dyDescent="0.2">
      <c r="A60" s="47"/>
      <c r="B60" s="451" t="s">
        <v>1042</v>
      </c>
      <c r="C60" s="49" t="s">
        <v>1495</v>
      </c>
      <c r="D60" s="50" t="s">
        <v>546</v>
      </c>
      <c r="E60" s="326" t="s">
        <v>22</v>
      </c>
      <c r="F60" s="55">
        <v>2</v>
      </c>
      <c r="G60" s="55">
        <v>191.63</v>
      </c>
      <c r="H60" s="54">
        <f t="shared" ref="H60:H76" si="11">TRUNC(G60*$J$14,2)</f>
        <v>234.68</v>
      </c>
      <c r="I60" s="54">
        <f t="shared" ref="I60:I76" si="12">TRUNC(F60*H60,2)</f>
        <v>469.36</v>
      </c>
      <c r="J60" s="56">
        <f t="shared" si="10"/>
        <v>0.15993089197250232</v>
      </c>
    </row>
    <row r="61" spans="1:10" ht="50.25" customHeight="1" x14ac:dyDescent="0.2">
      <c r="A61" s="47"/>
      <c r="B61" s="451" t="s">
        <v>1043</v>
      </c>
      <c r="C61" s="49" t="s">
        <v>1496</v>
      </c>
      <c r="D61" s="50" t="s">
        <v>954</v>
      </c>
      <c r="E61" s="326" t="s">
        <v>22</v>
      </c>
      <c r="F61" s="55">
        <v>57</v>
      </c>
      <c r="G61" s="55">
        <v>20.52</v>
      </c>
      <c r="H61" s="54">
        <f t="shared" si="11"/>
        <v>25.13</v>
      </c>
      <c r="I61" s="54">
        <f t="shared" si="12"/>
        <v>1432.41</v>
      </c>
      <c r="J61" s="56">
        <f t="shared" si="10"/>
        <v>0.48808294053675655</v>
      </c>
    </row>
    <row r="62" spans="1:10" ht="36" x14ac:dyDescent="0.2">
      <c r="A62" s="47"/>
      <c r="B62" s="451" t="s">
        <v>1044</v>
      </c>
      <c r="C62" s="49" t="s">
        <v>1497</v>
      </c>
      <c r="D62" s="50" t="s">
        <v>156</v>
      </c>
      <c r="E62" s="326" t="s">
        <v>22</v>
      </c>
      <c r="F62" s="55">
        <v>2</v>
      </c>
      <c r="G62" s="55">
        <v>84.9</v>
      </c>
      <c r="H62" s="54">
        <f t="shared" si="11"/>
        <v>103.97</v>
      </c>
      <c r="I62" s="54">
        <f t="shared" si="12"/>
        <v>207.94</v>
      </c>
      <c r="J62" s="56">
        <f t="shared" si="10"/>
        <v>7.0853991982193054E-2</v>
      </c>
    </row>
    <row r="63" spans="1:10" ht="36" x14ac:dyDescent="0.2">
      <c r="A63" s="47"/>
      <c r="B63" s="451" t="s">
        <v>1045</v>
      </c>
      <c r="C63" s="5" t="s">
        <v>1498</v>
      </c>
      <c r="D63" s="50" t="s">
        <v>183</v>
      </c>
      <c r="E63" s="326" t="s">
        <v>22</v>
      </c>
      <c r="F63" s="55">
        <v>12</v>
      </c>
      <c r="G63" s="55">
        <v>12.975</v>
      </c>
      <c r="H63" s="54">
        <f t="shared" si="11"/>
        <v>15.89</v>
      </c>
      <c r="I63" s="54">
        <f t="shared" si="12"/>
        <v>190.68</v>
      </c>
      <c r="J63" s="56">
        <f t="shared" si="10"/>
        <v>6.4972776720037373E-2</v>
      </c>
    </row>
    <row r="64" spans="1:10" ht="35.25" customHeight="1" x14ac:dyDescent="0.2">
      <c r="A64" s="47"/>
      <c r="B64" s="451" t="s">
        <v>1046</v>
      </c>
      <c r="C64" s="5" t="s">
        <v>1499</v>
      </c>
      <c r="D64" s="58" t="s">
        <v>122</v>
      </c>
      <c r="E64" s="59" t="s">
        <v>22</v>
      </c>
      <c r="F64" s="55">
        <v>7</v>
      </c>
      <c r="G64" s="55">
        <v>54.76</v>
      </c>
      <c r="H64" s="54">
        <f t="shared" si="11"/>
        <v>67.06</v>
      </c>
      <c r="I64" s="54">
        <f t="shared" si="12"/>
        <v>469.42</v>
      </c>
      <c r="J64" s="56">
        <f t="shared" si="10"/>
        <v>0.1599513365215017</v>
      </c>
    </row>
    <row r="65" spans="1:10" ht="29.25" customHeight="1" x14ac:dyDescent="0.2">
      <c r="A65" s="47"/>
      <c r="B65" s="451" t="s">
        <v>1047</v>
      </c>
      <c r="C65" s="5" t="s">
        <v>1500</v>
      </c>
      <c r="D65" s="58" t="s">
        <v>165</v>
      </c>
      <c r="E65" s="59" t="s">
        <v>22</v>
      </c>
      <c r="F65" s="55">
        <v>4</v>
      </c>
      <c r="G65" s="55">
        <v>56.82</v>
      </c>
      <c r="H65" s="54">
        <f t="shared" si="11"/>
        <v>69.58</v>
      </c>
      <c r="I65" s="54">
        <f t="shared" si="12"/>
        <v>278.32</v>
      </c>
      <c r="J65" s="56">
        <f t="shared" si="10"/>
        <v>9.4835447958468641E-2</v>
      </c>
    </row>
    <row r="66" spans="1:10" ht="29.25" customHeight="1" x14ac:dyDescent="0.2">
      <c r="A66" s="47"/>
      <c r="B66" s="451" t="s">
        <v>1048</v>
      </c>
      <c r="C66" s="5" t="s">
        <v>1501</v>
      </c>
      <c r="D66" s="58" t="s">
        <v>167</v>
      </c>
      <c r="E66" s="59" t="s">
        <v>22</v>
      </c>
      <c r="F66" s="60">
        <v>3</v>
      </c>
      <c r="G66" s="60">
        <v>59.33</v>
      </c>
      <c r="H66" s="54">
        <f t="shared" si="11"/>
        <v>72.66</v>
      </c>
      <c r="I66" s="54">
        <f t="shared" si="12"/>
        <v>217.98</v>
      </c>
      <c r="J66" s="56">
        <f t="shared" si="10"/>
        <v>7.4275046514756374E-2</v>
      </c>
    </row>
    <row r="67" spans="1:10" ht="30" customHeight="1" x14ac:dyDescent="0.2">
      <c r="A67" s="47"/>
      <c r="B67" s="451" t="s">
        <v>1049</v>
      </c>
      <c r="C67" s="63" t="s">
        <v>1502</v>
      </c>
      <c r="D67" s="64" t="s">
        <v>185</v>
      </c>
      <c r="E67" s="327" t="s">
        <v>22</v>
      </c>
      <c r="F67" s="342">
        <v>1</v>
      </c>
      <c r="G67" s="342">
        <v>81.66</v>
      </c>
      <c r="H67" s="343">
        <f t="shared" si="11"/>
        <v>100</v>
      </c>
      <c r="I67" s="343">
        <f t="shared" si="12"/>
        <v>100</v>
      </c>
      <c r="J67" s="56">
        <f t="shared" si="10"/>
        <v>3.4074248332304054E-2</v>
      </c>
    </row>
    <row r="68" spans="1:10" ht="30" customHeight="1" x14ac:dyDescent="0.2">
      <c r="A68" s="47"/>
      <c r="B68" s="451" t="s">
        <v>1050</v>
      </c>
      <c r="C68" s="5" t="s">
        <v>1503</v>
      </c>
      <c r="D68" s="58" t="s">
        <v>955</v>
      </c>
      <c r="E68" s="59" t="s">
        <v>22</v>
      </c>
      <c r="F68" s="60">
        <v>1</v>
      </c>
      <c r="G68" s="60">
        <v>98.461000000000013</v>
      </c>
      <c r="H68" s="237">
        <f t="shared" si="11"/>
        <v>120.58</v>
      </c>
      <c r="I68" s="237">
        <f t="shared" si="12"/>
        <v>120.58</v>
      </c>
      <c r="J68" s="56">
        <f t="shared" si="10"/>
        <v>4.1086728639092227E-2</v>
      </c>
    </row>
    <row r="69" spans="1:10" ht="64.5" customHeight="1" x14ac:dyDescent="0.2">
      <c r="A69" s="47"/>
      <c r="B69" s="451" t="s">
        <v>1051</v>
      </c>
      <c r="C69" s="5" t="s">
        <v>1504</v>
      </c>
      <c r="D69" s="58" t="s">
        <v>555</v>
      </c>
      <c r="E69" s="59" t="s">
        <v>22</v>
      </c>
      <c r="F69" s="60">
        <v>1</v>
      </c>
      <c r="G69" s="60">
        <v>366.43</v>
      </c>
      <c r="H69" s="237">
        <f t="shared" si="11"/>
        <v>448.76</v>
      </c>
      <c r="I69" s="237">
        <f t="shared" si="12"/>
        <v>448.76</v>
      </c>
      <c r="J69" s="56">
        <f t="shared" si="10"/>
        <v>0.15291159681604768</v>
      </c>
    </row>
    <row r="70" spans="1:10" ht="55.5" customHeight="1" x14ac:dyDescent="0.2">
      <c r="A70" s="47"/>
      <c r="B70" s="451" t="s">
        <v>1052</v>
      </c>
      <c r="C70" s="5" t="s">
        <v>1505</v>
      </c>
      <c r="D70" s="58" t="s">
        <v>556</v>
      </c>
      <c r="E70" s="59" t="s">
        <v>22</v>
      </c>
      <c r="F70" s="60">
        <v>1</v>
      </c>
      <c r="G70" s="60">
        <v>663.99</v>
      </c>
      <c r="H70" s="237">
        <f t="shared" si="11"/>
        <v>813.18</v>
      </c>
      <c r="I70" s="237">
        <f t="shared" si="12"/>
        <v>813.18</v>
      </c>
      <c r="J70" s="56">
        <f t="shared" si="10"/>
        <v>0.27708497258863007</v>
      </c>
    </row>
    <row r="71" spans="1:10" ht="104.25" customHeight="1" x14ac:dyDescent="0.2">
      <c r="A71" s="47"/>
      <c r="B71" s="451" t="s">
        <v>1053</v>
      </c>
      <c r="C71" s="5" t="s">
        <v>1506</v>
      </c>
      <c r="D71" s="58" t="s">
        <v>956</v>
      </c>
      <c r="E71" s="59" t="s">
        <v>22</v>
      </c>
      <c r="F71" s="60">
        <v>1</v>
      </c>
      <c r="G71" s="60">
        <v>958.48</v>
      </c>
      <c r="H71" s="237">
        <f t="shared" si="11"/>
        <v>1173.8499999999999</v>
      </c>
      <c r="I71" s="237">
        <f t="shared" si="12"/>
        <v>1173.8499999999999</v>
      </c>
      <c r="J71" s="56">
        <f t="shared" si="10"/>
        <v>0.39998056404875115</v>
      </c>
    </row>
    <row r="72" spans="1:10" ht="47.25" customHeight="1" x14ac:dyDescent="0.2">
      <c r="A72" s="47"/>
      <c r="B72" s="451" t="s">
        <v>1054</v>
      </c>
      <c r="C72" s="5" t="s">
        <v>1507</v>
      </c>
      <c r="D72" s="58" t="s">
        <v>284</v>
      </c>
      <c r="E72" s="59" t="s">
        <v>22</v>
      </c>
      <c r="F72" s="60">
        <v>1</v>
      </c>
      <c r="G72" s="60">
        <v>83.429999999999993</v>
      </c>
      <c r="H72" s="237">
        <f t="shared" si="11"/>
        <v>102.17</v>
      </c>
      <c r="I72" s="237">
        <f t="shared" si="12"/>
        <v>102.17</v>
      </c>
      <c r="J72" s="56">
        <f t="shared" si="10"/>
        <v>3.4813659521115051E-2</v>
      </c>
    </row>
    <row r="73" spans="1:10" ht="80.25" customHeight="1" x14ac:dyDescent="0.2">
      <c r="A73" s="47"/>
      <c r="B73" s="451" t="s">
        <v>1055</v>
      </c>
      <c r="C73" s="5" t="s">
        <v>1424</v>
      </c>
      <c r="D73" s="58" t="s">
        <v>567</v>
      </c>
      <c r="E73" s="59" t="s">
        <v>18</v>
      </c>
      <c r="F73" s="60">
        <v>140</v>
      </c>
      <c r="G73" s="60">
        <v>11.57</v>
      </c>
      <c r="H73" s="54">
        <f t="shared" si="11"/>
        <v>14.16</v>
      </c>
      <c r="I73" s="54">
        <f t="shared" si="12"/>
        <v>1982.4</v>
      </c>
      <c r="J73" s="56">
        <f t="shared" si="10"/>
        <v>0.6754878989395956</v>
      </c>
    </row>
    <row r="74" spans="1:10" ht="75" customHeight="1" x14ac:dyDescent="0.2">
      <c r="A74" s="47"/>
      <c r="B74" s="451" t="s">
        <v>1056</v>
      </c>
      <c r="C74" s="5" t="s">
        <v>1426</v>
      </c>
      <c r="D74" s="58" t="s">
        <v>568</v>
      </c>
      <c r="E74" s="59" t="s">
        <v>18</v>
      </c>
      <c r="F74" s="60">
        <v>20</v>
      </c>
      <c r="G74" s="60">
        <v>8.14</v>
      </c>
      <c r="H74" s="54">
        <f t="shared" si="11"/>
        <v>9.9600000000000009</v>
      </c>
      <c r="I74" s="54">
        <f t="shared" si="12"/>
        <v>199.2</v>
      </c>
      <c r="J74" s="56">
        <f t="shared" si="10"/>
        <v>6.787590267794967E-2</v>
      </c>
    </row>
    <row r="75" spans="1:10" ht="75.75" customHeight="1" x14ac:dyDescent="0.2">
      <c r="A75" s="47"/>
      <c r="B75" s="451" t="s">
        <v>1057</v>
      </c>
      <c r="C75" s="5" t="s">
        <v>1427</v>
      </c>
      <c r="D75" s="58" t="s">
        <v>569</v>
      </c>
      <c r="E75" s="59" t="s">
        <v>18</v>
      </c>
      <c r="F75" s="60">
        <v>6</v>
      </c>
      <c r="G75" s="60">
        <v>5.94</v>
      </c>
      <c r="H75" s="54">
        <f t="shared" si="11"/>
        <v>7.27</v>
      </c>
      <c r="I75" s="54">
        <f t="shared" si="12"/>
        <v>43.62</v>
      </c>
      <c r="J75" s="56">
        <f t="shared" si="10"/>
        <v>1.4863187122551028E-2</v>
      </c>
    </row>
    <row r="76" spans="1:10" ht="67.5" customHeight="1" x14ac:dyDescent="0.2">
      <c r="A76" s="47"/>
      <c r="B76" s="451" t="s">
        <v>1058</v>
      </c>
      <c r="C76" s="5" t="s">
        <v>1428</v>
      </c>
      <c r="D76" s="58" t="s">
        <v>570</v>
      </c>
      <c r="E76" s="59" t="s">
        <v>18</v>
      </c>
      <c r="F76" s="60">
        <v>6</v>
      </c>
      <c r="G76" s="60">
        <v>4.1399999999999997</v>
      </c>
      <c r="H76" s="54">
        <f t="shared" si="11"/>
        <v>5.07</v>
      </c>
      <c r="I76" s="54">
        <f t="shared" si="12"/>
        <v>30.42</v>
      </c>
      <c r="J76" s="56">
        <f t="shared" si="10"/>
        <v>1.0365386342686895E-2</v>
      </c>
    </row>
    <row r="77" spans="1:10" ht="74.25" customHeight="1" x14ac:dyDescent="0.2">
      <c r="A77" s="47"/>
      <c r="B77" s="451" t="s">
        <v>1059</v>
      </c>
      <c r="C77" s="5" t="s">
        <v>1429</v>
      </c>
      <c r="D77" s="58" t="s">
        <v>571</v>
      </c>
      <c r="E77" s="59" t="s">
        <v>18</v>
      </c>
      <c r="F77" s="60">
        <v>30</v>
      </c>
      <c r="G77" s="55">
        <v>12.34</v>
      </c>
      <c r="H77" s="54">
        <f>TRUNC(G77*$J$14,2)</f>
        <v>15.11</v>
      </c>
      <c r="I77" s="54">
        <f>TRUNC(F77*H77,2)</f>
        <v>453.3</v>
      </c>
      <c r="J77" s="56">
        <f t="shared" si="10"/>
        <v>0.15445856769033428</v>
      </c>
    </row>
    <row r="78" spans="1:10" ht="27" customHeight="1" x14ac:dyDescent="0.2">
      <c r="A78" s="47"/>
      <c r="B78" s="451"/>
      <c r="C78" s="49"/>
      <c r="D78" s="320" t="s">
        <v>584</v>
      </c>
      <c r="E78" s="212"/>
      <c r="F78" s="319"/>
      <c r="G78" s="55"/>
      <c r="H78" s="54"/>
      <c r="I78" s="54"/>
      <c r="J78" s="56"/>
    </row>
    <row r="79" spans="1:10" ht="42.75" customHeight="1" x14ac:dyDescent="0.2">
      <c r="A79" s="47"/>
      <c r="B79" s="451" t="s">
        <v>1060</v>
      </c>
      <c r="C79" s="49" t="s">
        <v>1430</v>
      </c>
      <c r="D79" s="50" t="s">
        <v>573</v>
      </c>
      <c r="E79" s="326" t="s">
        <v>22</v>
      </c>
      <c r="F79" s="319">
        <v>1</v>
      </c>
      <c r="G79" s="55">
        <v>6.47</v>
      </c>
      <c r="H79" s="54">
        <f>TRUNC(G79*$J$14,2)</f>
        <v>7.92</v>
      </c>
      <c r="I79" s="54">
        <f>TRUNC(F79*H79,2)</f>
        <v>7.92</v>
      </c>
      <c r="J79" s="56">
        <f>(I79/$I$237)*100</f>
        <v>2.698680467918481E-3</v>
      </c>
    </row>
    <row r="80" spans="1:10" ht="41.25" customHeight="1" x14ac:dyDescent="0.2">
      <c r="A80" s="47"/>
      <c r="B80" s="451" t="s">
        <v>1061</v>
      </c>
      <c r="C80" s="49" t="s">
        <v>1431</v>
      </c>
      <c r="D80" s="50" t="s">
        <v>577</v>
      </c>
      <c r="E80" s="326" t="s">
        <v>22</v>
      </c>
      <c r="F80" s="319">
        <v>1</v>
      </c>
      <c r="G80" s="55">
        <v>5.81</v>
      </c>
      <c r="H80" s="54">
        <f>TRUNC(G80*$J$14,2)</f>
        <v>7.11</v>
      </c>
      <c r="I80" s="54">
        <f>TRUNC(F80*H80,2)</f>
        <v>7.11</v>
      </c>
      <c r="J80" s="56">
        <f>(I80/$I$237)*100</f>
        <v>2.4226790564268186E-3</v>
      </c>
    </row>
    <row r="81" spans="1:11" ht="56.25" customHeight="1" x14ac:dyDescent="0.2">
      <c r="A81" s="47"/>
      <c r="B81" s="451" t="s">
        <v>1062</v>
      </c>
      <c r="C81" s="49" t="s">
        <v>1432</v>
      </c>
      <c r="D81" s="50" t="s">
        <v>581</v>
      </c>
      <c r="E81" s="326" t="s">
        <v>18</v>
      </c>
      <c r="F81" s="319">
        <v>30</v>
      </c>
      <c r="G81" s="55">
        <v>3.63</v>
      </c>
      <c r="H81" s="54">
        <f>TRUNC(G81*$J$14,2)</f>
        <v>4.4400000000000004</v>
      </c>
      <c r="I81" s="54">
        <f>TRUNC(F81*H81,2)</f>
        <v>133.19999999999999</v>
      </c>
      <c r="J81" s="56">
        <f>(I81/$I$237)*100</f>
        <v>4.5386898778629003E-2</v>
      </c>
    </row>
    <row r="82" spans="1:11" ht="15" customHeight="1" x14ac:dyDescent="0.2">
      <c r="A82" s="47"/>
      <c r="B82" s="452"/>
      <c r="C82" s="71"/>
      <c r="D82" s="72" t="s">
        <v>17</v>
      </c>
      <c r="E82" s="315"/>
      <c r="F82" s="293"/>
      <c r="G82" s="293"/>
      <c r="H82" s="293"/>
      <c r="I82" s="316">
        <f>SUM(I57:I81)</f>
        <v>28435.909999999993</v>
      </c>
      <c r="J82" s="235">
        <f>(I82/$I$237)*100</f>
        <v>9.6893225889504802</v>
      </c>
    </row>
    <row r="83" spans="1:11" ht="18.75" x14ac:dyDescent="0.2">
      <c r="A83" s="47"/>
      <c r="B83" s="451" t="s">
        <v>206</v>
      </c>
      <c r="C83" s="489"/>
      <c r="D83" s="51" t="s">
        <v>214</v>
      </c>
      <c r="E83" s="326"/>
      <c r="F83" s="55"/>
      <c r="G83" s="55"/>
      <c r="H83" s="54"/>
      <c r="I83" s="54"/>
      <c r="J83" s="235"/>
    </row>
    <row r="84" spans="1:11" ht="18.75" x14ac:dyDescent="0.2">
      <c r="A84" s="47"/>
      <c r="B84" s="451"/>
      <c r="C84" s="489"/>
      <c r="D84" s="491" t="s">
        <v>208</v>
      </c>
      <c r="E84" s="326"/>
      <c r="F84" s="55"/>
      <c r="G84" s="55"/>
      <c r="H84" s="54"/>
      <c r="I84" s="54"/>
      <c r="J84" s="235"/>
    </row>
    <row r="85" spans="1:11" ht="70.5" customHeight="1" x14ac:dyDescent="0.2">
      <c r="A85" s="47"/>
      <c r="B85" s="451" t="s">
        <v>1063</v>
      </c>
      <c r="C85" s="49" t="s">
        <v>1433</v>
      </c>
      <c r="D85" s="50" t="s">
        <v>590</v>
      </c>
      <c r="E85" s="326" t="s">
        <v>18</v>
      </c>
      <c r="F85" s="55">
        <v>39</v>
      </c>
      <c r="G85" s="55">
        <v>20.07</v>
      </c>
      <c r="H85" s="54">
        <f t="shared" ref="H85:H96" si="13">TRUNC(G85*$J$14,2)</f>
        <v>24.57</v>
      </c>
      <c r="I85" s="54">
        <f t="shared" ref="I85:I96" si="14">TRUNC(F85*H85,2)</f>
        <v>958.23</v>
      </c>
      <c r="J85" s="56">
        <f t="shared" ref="J85:J97" si="15">(I85/$I$237)*100</f>
        <v>0.32650966979463714</v>
      </c>
    </row>
    <row r="86" spans="1:11" ht="60" x14ac:dyDescent="0.2">
      <c r="A86" s="47"/>
      <c r="B86" s="451" t="s">
        <v>1064</v>
      </c>
      <c r="C86" s="49" t="s">
        <v>1434</v>
      </c>
      <c r="D86" s="50" t="s">
        <v>589</v>
      </c>
      <c r="E86" s="326" t="s">
        <v>18</v>
      </c>
      <c r="F86" s="55">
        <v>34</v>
      </c>
      <c r="G86" s="55">
        <v>18.02</v>
      </c>
      <c r="H86" s="54">
        <f t="shared" si="13"/>
        <v>22.06</v>
      </c>
      <c r="I86" s="54">
        <f t="shared" si="14"/>
        <v>750.04</v>
      </c>
      <c r="J86" s="56">
        <f t="shared" si="15"/>
        <v>0.25557049219161337</v>
      </c>
    </row>
    <row r="87" spans="1:11" ht="60" x14ac:dyDescent="0.2">
      <c r="A87" s="47"/>
      <c r="B87" s="451" t="s">
        <v>1065</v>
      </c>
      <c r="C87" s="49" t="s">
        <v>1435</v>
      </c>
      <c r="D87" s="50" t="s">
        <v>591</v>
      </c>
      <c r="E87" s="326" t="s">
        <v>18</v>
      </c>
      <c r="F87" s="55">
        <v>8</v>
      </c>
      <c r="G87" s="55">
        <v>12.85</v>
      </c>
      <c r="H87" s="54">
        <f t="shared" si="13"/>
        <v>15.73</v>
      </c>
      <c r="I87" s="54">
        <f t="shared" si="14"/>
        <v>125.84</v>
      </c>
      <c r="J87" s="56">
        <f t="shared" si="15"/>
        <v>4.2879034101371422E-2</v>
      </c>
    </row>
    <row r="88" spans="1:11" ht="60" x14ac:dyDescent="0.2">
      <c r="A88" s="47"/>
      <c r="B88" s="451" t="s">
        <v>1066</v>
      </c>
      <c r="C88" s="49" t="s">
        <v>1436</v>
      </c>
      <c r="D88" s="50" t="s">
        <v>592</v>
      </c>
      <c r="E88" s="326" t="s">
        <v>18</v>
      </c>
      <c r="F88" s="55">
        <v>30</v>
      </c>
      <c r="G88" s="55">
        <v>9.2100000000000009</v>
      </c>
      <c r="H88" s="54">
        <f t="shared" si="13"/>
        <v>11.27</v>
      </c>
      <c r="I88" s="54">
        <f t="shared" si="14"/>
        <v>338.1</v>
      </c>
      <c r="J88" s="56">
        <f t="shared" si="15"/>
        <v>0.11520503361152003</v>
      </c>
    </row>
    <row r="89" spans="1:11" ht="57.75" customHeight="1" x14ac:dyDescent="0.2">
      <c r="A89" s="47"/>
      <c r="B89" s="451" t="s">
        <v>1067</v>
      </c>
      <c r="C89" s="49" t="s">
        <v>1508</v>
      </c>
      <c r="D89" s="50" t="s">
        <v>957</v>
      </c>
      <c r="E89" s="326" t="s">
        <v>22</v>
      </c>
      <c r="F89" s="55">
        <v>6</v>
      </c>
      <c r="G89" s="55">
        <v>53.05</v>
      </c>
      <c r="H89" s="54">
        <f t="shared" si="13"/>
        <v>64.97</v>
      </c>
      <c r="I89" s="54">
        <f t="shared" si="14"/>
        <v>389.82</v>
      </c>
      <c r="J89" s="56">
        <f t="shared" si="15"/>
        <v>0.13282823484898768</v>
      </c>
    </row>
    <row r="90" spans="1:11" ht="54.75" customHeight="1" x14ac:dyDescent="0.2">
      <c r="A90" s="47"/>
      <c r="B90" s="451" t="s">
        <v>1068</v>
      </c>
      <c r="C90" s="49" t="s">
        <v>1509</v>
      </c>
      <c r="D90" s="50" t="s">
        <v>637</v>
      </c>
      <c r="E90" s="326" t="s">
        <v>22</v>
      </c>
      <c r="F90" s="55">
        <v>1</v>
      </c>
      <c r="G90" s="55">
        <v>65.08</v>
      </c>
      <c r="H90" s="54">
        <f t="shared" si="13"/>
        <v>79.7</v>
      </c>
      <c r="I90" s="54">
        <f t="shared" si="14"/>
        <v>79.7</v>
      </c>
      <c r="J90" s="56">
        <f t="shared" si="15"/>
        <v>2.7157175920846332E-2</v>
      </c>
    </row>
    <row r="91" spans="1:11" ht="57" customHeight="1" x14ac:dyDescent="0.2">
      <c r="A91" s="47"/>
      <c r="B91" s="451" t="s">
        <v>1069</v>
      </c>
      <c r="C91" s="49" t="s">
        <v>1510</v>
      </c>
      <c r="D91" s="50" t="s">
        <v>595</v>
      </c>
      <c r="E91" s="326" t="s">
        <v>22</v>
      </c>
      <c r="F91" s="55">
        <v>4</v>
      </c>
      <c r="G91" s="55">
        <v>23.18</v>
      </c>
      <c r="H91" s="54">
        <f t="shared" si="13"/>
        <v>28.38</v>
      </c>
      <c r="I91" s="54">
        <f t="shared" si="14"/>
        <v>113.52</v>
      </c>
      <c r="J91" s="56">
        <f t="shared" si="15"/>
        <v>3.8681086706831569E-2</v>
      </c>
    </row>
    <row r="92" spans="1:11" ht="39.75" customHeight="1" x14ac:dyDescent="0.2">
      <c r="A92" s="47"/>
      <c r="B92" s="451" t="s">
        <v>1070</v>
      </c>
      <c r="C92" s="49" t="s">
        <v>1511</v>
      </c>
      <c r="D92" s="50" t="s">
        <v>958</v>
      </c>
      <c r="E92" s="326" t="s">
        <v>22</v>
      </c>
      <c r="F92" s="55">
        <v>7</v>
      </c>
      <c r="G92" s="55">
        <v>11.75</v>
      </c>
      <c r="H92" s="54">
        <f t="shared" si="13"/>
        <v>14.39</v>
      </c>
      <c r="I92" s="54">
        <f t="shared" si="14"/>
        <v>100.73</v>
      </c>
      <c r="J92" s="56">
        <f t="shared" si="15"/>
        <v>3.4322990345129874E-2</v>
      </c>
    </row>
    <row r="93" spans="1:11" ht="31.5" customHeight="1" x14ac:dyDescent="0.2">
      <c r="A93" s="47"/>
      <c r="B93" s="451" t="s">
        <v>1071</v>
      </c>
      <c r="C93" s="49" t="s">
        <v>1437</v>
      </c>
      <c r="D93" s="50" t="s">
        <v>598</v>
      </c>
      <c r="E93" s="326" t="s">
        <v>22</v>
      </c>
      <c r="F93" s="55">
        <v>3</v>
      </c>
      <c r="G93" s="55">
        <v>11.75</v>
      </c>
      <c r="H93" s="54">
        <f t="shared" si="13"/>
        <v>14.39</v>
      </c>
      <c r="I93" s="54">
        <f t="shared" si="14"/>
        <v>43.17</v>
      </c>
      <c r="J93" s="56">
        <f t="shared" si="15"/>
        <v>1.4709853005055661E-2</v>
      </c>
    </row>
    <row r="94" spans="1:11" ht="43.5" customHeight="1" x14ac:dyDescent="0.2">
      <c r="A94" s="47"/>
      <c r="B94" s="451" t="s">
        <v>1072</v>
      </c>
      <c r="C94" s="49" t="s">
        <v>1512</v>
      </c>
      <c r="D94" s="50" t="s">
        <v>239</v>
      </c>
      <c r="E94" s="326" t="s">
        <v>22</v>
      </c>
      <c r="F94" s="55">
        <v>1</v>
      </c>
      <c r="G94" s="55">
        <v>67.33</v>
      </c>
      <c r="H94" s="54">
        <f t="shared" si="13"/>
        <v>82.45</v>
      </c>
      <c r="I94" s="54">
        <f t="shared" si="14"/>
        <v>82.45</v>
      </c>
      <c r="J94" s="56">
        <f t="shared" si="15"/>
        <v>2.8094217749984697E-2</v>
      </c>
    </row>
    <row r="95" spans="1:11" ht="78.75" customHeight="1" x14ac:dyDescent="0.2">
      <c r="A95" s="47"/>
      <c r="B95" s="451" t="s">
        <v>1073</v>
      </c>
      <c r="C95" s="49" t="s">
        <v>1513</v>
      </c>
      <c r="D95" s="50" t="s">
        <v>889</v>
      </c>
      <c r="E95" s="326" t="s">
        <v>22</v>
      </c>
      <c r="F95" s="55">
        <v>1</v>
      </c>
      <c r="G95" s="55">
        <v>873.45</v>
      </c>
      <c r="H95" s="54">
        <f t="shared" si="13"/>
        <v>1069.71</v>
      </c>
      <c r="I95" s="54">
        <f t="shared" si="14"/>
        <v>1069.71</v>
      </c>
      <c r="J95" s="56">
        <f t="shared" si="15"/>
        <v>0.36449564183548971</v>
      </c>
    </row>
    <row r="96" spans="1:11" ht="73.5" customHeight="1" x14ac:dyDescent="0.2">
      <c r="A96" s="47"/>
      <c r="B96" s="451" t="s">
        <v>1074</v>
      </c>
      <c r="C96" s="219" t="s">
        <v>1514</v>
      </c>
      <c r="D96" s="294" t="s">
        <v>959</v>
      </c>
      <c r="E96" s="344" t="s">
        <v>22</v>
      </c>
      <c r="F96" s="55">
        <v>1</v>
      </c>
      <c r="G96" s="60">
        <v>77.48</v>
      </c>
      <c r="H96" s="237">
        <f t="shared" si="13"/>
        <v>94.88</v>
      </c>
      <c r="I96" s="54">
        <f t="shared" si="14"/>
        <v>94.88</v>
      </c>
      <c r="J96" s="56">
        <f t="shared" si="15"/>
        <v>3.2329646817690086E-2</v>
      </c>
      <c r="K96" s="52"/>
    </row>
    <row r="97" spans="1:12" ht="15" customHeight="1" x14ac:dyDescent="0.2">
      <c r="A97" s="47"/>
      <c r="B97" s="452"/>
      <c r="C97" s="71"/>
      <c r="D97" s="72" t="s">
        <v>17</v>
      </c>
      <c r="E97" s="315"/>
      <c r="F97" s="293"/>
      <c r="G97" s="293"/>
      <c r="H97" s="293"/>
      <c r="I97" s="316">
        <f>SUM(I85:I96)</f>
        <v>4146.1899999999996</v>
      </c>
      <c r="J97" s="235">
        <f t="shared" si="15"/>
        <v>1.4127830769291574</v>
      </c>
      <c r="K97" s="52"/>
    </row>
    <row r="98" spans="1:12" ht="24.75" customHeight="1" x14ac:dyDescent="0.2">
      <c r="A98" s="47"/>
      <c r="B98" s="451" t="s">
        <v>101</v>
      </c>
      <c r="C98" s="489"/>
      <c r="D98" s="51" t="s">
        <v>287</v>
      </c>
      <c r="E98" s="326"/>
      <c r="F98" s="55"/>
      <c r="G98" s="55"/>
      <c r="H98" s="54"/>
      <c r="I98" s="54"/>
      <c r="J98" s="235"/>
      <c r="K98" s="81"/>
      <c r="L98" s="52"/>
    </row>
    <row r="99" spans="1:12" ht="69.75" customHeight="1" x14ac:dyDescent="0.2">
      <c r="A99" s="47"/>
      <c r="B99" s="451" t="s">
        <v>1075</v>
      </c>
      <c r="C99" s="49" t="s">
        <v>1515</v>
      </c>
      <c r="D99" s="50" t="s">
        <v>960</v>
      </c>
      <c r="E99" s="326" t="s">
        <v>18</v>
      </c>
      <c r="F99" s="55">
        <v>30</v>
      </c>
      <c r="G99" s="55">
        <v>16.12</v>
      </c>
      <c r="H99" s="237">
        <f t="shared" ref="H99:H125" si="16">TRUNC(G99*$J$14,2)</f>
        <v>19.739999999999998</v>
      </c>
      <c r="I99" s="54">
        <f t="shared" ref="I99:I125" si="17">TRUNC(F99*H99,2)</f>
        <v>592.20000000000005</v>
      </c>
      <c r="J99" s="56">
        <f t="shared" ref="J99:J126" si="18">(I99/$I$237)*100</f>
        <v>0.20178769862390461</v>
      </c>
      <c r="K99" s="81"/>
    </row>
    <row r="100" spans="1:12" ht="67.5" customHeight="1" x14ac:dyDescent="0.2">
      <c r="A100" s="47"/>
      <c r="B100" s="451" t="s">
        <v>1076</v>
      </c>
      <c r="C100" s="49" t="s">
        <v>1516</v>
      </c>
      <c r="D100" s="50" t="s">
        <v>961</v>
      </c>
      <c r="E100" s="326" t="s">
        <v>18</v>
      </c>
      <c r="F100" s="55">
        <v>20</v>
      </c>
      <c r="G100" s="55">
        <v>10.98</v>
      </c>
      <c r="H100" s="237">
        <f t="shared" si="16"/>
        <v>13.44</v>
      </c>
      <c r="I100" s="54">
        <f t="shared" si="17"/>
        <v>268.8</v>
      </c>
      <c r="J100" s="56">
        <f t="shared" si="18"/>
        <v>9.1591579517233304E-2</v>
      </c>
      <c r="K100" s="81"/>
    </row>
    <row r="101" spans="1:12" ht="68.25" customHeight="1" x14ac:dyDescent="0.2">
      <c r="A101" s="47"/>
      <c r="B101" s="451" t="s">
        <v>1077</v>
      </c>
      <c r="C101" s="49" t="s">
        <v>1517</v>
      </c>
      <c r="D101" s="50" t="s">
        <v>962</v>
      </c>
      <c r="E101" s="326" t="s">
        <v>18</v>
      </c>
      <c r="F101" s="55">
        <v>73.099999999999994</v>
      </c>
      <c r="G101" s="55">
        <v>7.36</v>
      </c>
      <c r="H101" s="237">
        <f t="shared" si="16"/>
        <v>9.01</v>
      </c>
      <c r="I101" s="54">
        <f t="shared" si="17"/>
        <v>658.63</v>
      </c>
      <c r="J101" s="56">
        <f t="shared" si="18"/>
        <v>0.2244232217910542</v>
      </c>
      <c r="K101" s="81"/>
    </row>
    <row r="102" spans="1:12" ht="69" customHeight="1" x14ac:dyDescent="0.2">
      <c r="A102" s="47"/>
      <c r="B102" s="451" t="s">
        <v>1078</v>
      </c>
      <c r="C102" s="49" t="s">
        <v>1518</v>
      </c>
      <c r="D102" s="50" t="s">
        <v>963</v>
      </c>
      <c r="E102" s="326" t="s">
        <v>18</v>
      </c>
      <c r="F102" s="55">
        <v>17.899999999999999</v>
      </c>
      <c r="G102" s="55">
        <v>6.72</v>
      </c>
      <c r="H102" s="237">
        <f t="shared" si="16"/>
        <v>8.2200000000000006</v>
      </c>
      <c r="I102" s="54">
        <f t="shared" si="17"/>
        <v>147.13</v>
      </c>
      <c r="J102" s="56">
        <f t="shared" si="18"/>
        <v>5.0133441571318951E-2</v>
      </c>
      <c r="K102" s="81"/>
      <c r="L102" s="283"/>
    </row>
    <row r="103" spans="1:12" ht="49.5" customHeight="1" x14ac:dyDescent="0.2">
      <c r="A103" s="47"/>
      <c r="B103" s="451" t="s">
        <v>1079</v>
      </c>
      <c r="C103" s="49" t="s">
        <v>1519</v>
      </c>
      <c r="D103" s="50" t="s">
        <v>964</v>
      </c>
      <c r="E103" s="326" t="s">
        <v>22</v>
      </c>
      <c r="F103" s="55">
        <v>4</v>
      </c>
      <c r="G103" s="55">
        <v>13.76</v>
      </c>
      <c r="H103" s="237">
        <f t="shared" si="16"/>
        <v>16.850000000000001</v>
      </c>
      <c r="I103" s="54">
        <f t="shared" si="17"/>
        <v>67.400000000000006</v>
      </c>
      <c r="J103" s="56">
        <f t="shared" si="18"/>
        <v>2.2966043375972935E-2</v>
      </c>
      <c r="K103" s="81"/>
    </row>
    <row r="104" spans="1:12" ht="45" customHeight="1" x14ac:dyDescent="0.2">
      <c r="A104" s="47"/>
      <c r="B104" s="451" t="s">
        <v>1080</v>
      </c>
      <c r="C104" s="49" t="s">
        <v>1520</v>
      </c>
      <c r="D104" s="50" t="s">
        <v>301</v>
      </c>
      <c r="E104" s="326" t="s">
        <v>22</v>
      </c>
      <c r="F104" s="55">
        <v>2</v>
      </c>
      <c r="G104" s="55">
        <v>10.26</v>
      </c>
      <c r="H104" s="237">
        <f t="shared" si="16"/>
        <v>12.56</v>
      </c>
      <c r="I104" s="54">
        <f t="shared" si="17"/>
        <v>25.12</v>
      </c>
      <c r="J104" s="56">
        <f t="shared" si="18"/>
        <v>8.5594511810747793E-3</v>
      </c>
      <c r="K104" s="81"/>
    </row>
    <row r="105" spans="1:12" ht="44.25" customHeight="1" x14ac:dyDescent="0.2">
      <c r="A105" s="47"/>
      <c r="B105" s="451" t="s">
        <v>1081</v>
      </c>
      <c r="C105" s="49" t="s">
        <v>1521</v>
      </c>
      <c r="D105" s="50" t="s">
        <v>302</v>
      </c>
      <c r="E105" s="326" t="s">
        <v>22</v>
      </c>
      <c r="F105" s="55">
        <v>17</v>
      </c>
      <c r="G105" s="55">
        <v>7.81</v>
      </c>
      <c r="H105" s="237">
        <f t="shared" si="16"/>
        <v>9.56</v>
      </c>
      <c r="I105" s="54">
        <f t="shared" si="17"/>
        <v>162.52000000000001</v>
      </c>
      <c r="J105" s="56">
        <f t="shared" si="18"/>
        <v>5.5377468389660553E-2</v>
      </c>
      <c r="K105" s="81"/>
    </row>
    <row r="106" spans="1:12" ht="36" x14ac:dyDescent="0.2">
      <c r="A106" s="47"/>
      <c r="B106" s="451" t="s">
        <v>1082</v>
      </c>
      <c r="C106" s="5" t="s">
        <v>1522</v>
      </c>
      <c r="D106" s="58" t="s">
        <v>291</v>
      </c>
      <c r="E106" s="59" t="s">
        <v>22</v>
      </c>
      <c r="F106" s="60">
        <v>10</v>
      </c>
      <c r="G106" s="60">
        <v>6.61</v>
      </c>
      <c r="H106" s="237">
        <f t="shared" si="16"/>
        <v>8.09</v>
      </c>
      <c r="I106" s="237">
        <f t="shared" si="17"/>
        <v>80.900000000000006</v>
      </c>
      <c r="J106" s="56">
        <f t="shared" si="18"/>
        <v>2.7566066900833984E-2</v>
      </c>
      <c r="K106" s="81"/>
    </row>
    <row r="107" spans="1:12" ht="40.5" customHeight="1" x14ac:dyDescent="0.2">
      <c r="A107" s="47"/>
      <c r="B107" s="451" t="s">
        <v>1083</v>
      </c>
      <c r="C107" s="5" t="s">
        <v>1523</v>
      </c>
      <c r="D107" s="58" t="s">
        <v>305</v>
      </c>
      <c r="E107" s="59" t="s">
        <v>22</v>
      </c>
      <c r="F107" s="60">
        <v>15</v>
      </c>
      <c r="G107" s="60">
        <v>8.17</v>
      </c>
      <c r="H107" s="237">
        <f t="shared" si="16"/>
        <v>10</v>
      </c>
      <c r="I107" s="237">
        <f t="shared" si="17"/>
        <v>150</v>
      </c>
      <c r="J107" s="56">
        <f t="shared" si="18"/>
        <v>5.1111372498456091E-2</v>
      </c>
      <c r="K107" s="81"/>
    </row>
    <row r="108" spans="1:12" ht="48" x14ac:dyDescent="0.2">
      <c r="A108" s="47"/>
      <c r="B108" s="451" t="s">
        <v>1084</v>
      </c>
      <c r="C108" s="5" t="s">
        <v>1524</v>
      </c>
      <c r="D108" s="58" t="s">
        <v>294</v>
      </c>
      <c r="E108" s="59" t="s">
        <v>22</v>
      </c>
      <c r="F108" s="60">
        <v>2</v>
      </c>
      <c r="G108" s="60">
        <v>11.18</v>
      </c>
      <c r="H108" s="237">
        <f t="shared" si="16"/>
        <v>13.69</v>
      </c>
      <c r="I108" s="237">
        <f t="shared" si="17"/>
        <v>27.38</v>
      </c>
      <c r="J108" s="56">
        <f t="shared" si="18"/>
        <v>9.3295291933848511E-3</v>
      </c>
      <c r="K108" s="81"/>
    </row>
    <row r="109" spans="1:12" ht="39.75" customHeight="1" x14ac:dyDescent="0.2">
      <c r="A109" s="47"/>
      <c r="B109" s="451" t="s">
        <v>1085</v>
      </c>
      <c r="C109" s="49" t="s">
        <v>1525</v>
      </c>
      <c r="D109" s="50" t="s">
        <v>965</v>
      </c>
      <c r="E109" s="59" t="s">
        <v>22</v>
      </c>
      <c r="F109" s="60">
        <v>2</v>
      </c>
      <c r="G109" s="60">
        <v>13.51</v>
      </c>
      <c r="H109" s="237">
        <f t="shared" si="16"/>
        <v>16.54</v>
      </c>
      <c r="I109" s="237">
        <f t="shared" si="17"/>
        <v>33.08</v>
      </c>
      <c r="J109" s="56">
        <f t="shared" si="18"/>
        <v>1.1271761348326182E-2</v>
      </c>
      <c r="K109" s="81"/>
    </row>
    <row r="110" spans="1:12" ht="42.75" customHeight="1" x14ac:dyDescent="0.2">
      <c r="A110" s="47"/>
      <c r="B110" s="451" t="s">
        <v>1086</v>
      </c>
      <c r="C110" s="49" t="s">
        <v>1526</v>
      </c>
      <c r="D110" s="50" t="s">
        <v>966</v>
      </c>
      <c r="E110" s="326" t="s">
        <v>22</v>
      </c>
      <c r="F110" s="60">
        <v>11</v>
      </c>
      <c r="G110" s="60">
        <v>8.92</v>
      </c>
      <c r="H110" s="237">
        <f t="shared" si="16"/>
        <v>10.92</v>
      </c>
      <c r="I110" s="237">
        <f t="shared" si="17"/>
        <v>120.12</v>
      </c>
      <c r="J110" s="56">
        <f t="shared" si="18"/>
        <v>4.0929987096763633E-2</v>
      </c>
      <c r="K110" s="81"/>
    </row>
    <row r="111" spans="1:12" ht="46.5" customHeight="1" x14ac:dyDescent="0.2">
      <c r="A111" s="47"/>
      <c r="B111" s="451" t="s">
        <v>1087</v>
      </c>
      <c r="C111" s="49" t="s">
        <v>1527</v>
      </c>
      <c r="D111" s="50" t="s">
        <v>967</v>
      </c>
      <c r="E111" s="326" t="s">
        <v>22</v>
      </c>
      <c r="F111" s="60">
        <v>1</v>
      </c>
      <c r="G111" s="60">
        <v>28.05</v>
      </c>
      <c r="H111" s="237">
        <f t="shared" si="16"/>
        <v>34.35</v>
      </c>
      <c r="I111" s="237">
        <f t="shared" si="17"/>
        <v>34.35</v>
      </c>
      <c r="J111" s="56">
        <f t="shared" si="18"/>
        <v>1.1704504302146443E-2</v>
      </c>
      <c r="K111" s="81"/>
    </row>
    <row r="112" spans="1:12" ht="42.75" customHeight="1" x14ac:dyDescent="0.2">
      <c r="A112" s="47"/>
      <c r="B112" s="451" t="s">
        <v>1088</v>
      </c>
      <c r="C112" s="49" t="s">
        <v>1528</v>
      </c>
      <c r="D112" s="50" t="s">
        <v>254</v>
      </c>
      <c r="E112" s="326" t="s">
        <v>22</v>
      </c>
      <c r="F112" s="55">
        <v>3</v>
      </c>
      <c r="G112" s="55">
        <v>15.89</v>
      </c>
      <c r="H112" s="237">
        <f t="shared" si="16"/>
        <v>19.46</v>
      </c>
      <c r="I112" s="54">
        <f t="shared" si="17"/>
        <v>58.38</v>
      </c>
      <c r="J112" s="56">
        <f t="shared" si="18"/>
        <v>1.9892546176399108E-2</v>
      </c>
      <c r="K112" s="81"/>
    </row>
    <row r="113" spans="1:11" ht="45" customHeight="1" x14ac:dyDescent="0.2">
      <c r="A113" s="47"/>
      <c r="B113" s="451" t="s">
        <v>1089</v>
      </c>
      <c r="C113" s="5" t="s">
        <v>1529</v>
      </c>
      <c r="D113" s="58" t="s">
        <v>888</v>
      </c>
      <c r="E113" s="59" t="s">
        <v>22</v>
      </c>
      <c r="F113" s="60">
        <v>7</v>
      </c>
      <c r="G113" s="60">
        <v>10.18</v>
      </c>
      <c r="H113" s="237">
        <f t="shared" si="16"/>
        <v>12.46</v>
      </c>
      <c r="I113" s="237">
        <f t="shared" si="17"/>
        <v>87.22</v>
      </c>
      <c r="J113" s="56">
        <f t="shared" si="18"/>
        <v>2.9719559395435597E-2</v>
      </c>
      <c r="K113" s="81"/>
    </row>
    <row r="114" spans="1:11" ht="36" customHeight="1" x14ac:dyDescent="0.2">
      <c r="A114" s="47"/>
      <c r="B114" s="451" t="s">
        <v>1090</v>
      </c>
      <c r="C114" s="63" t="s">
        <v>1530</v>
      </c>
      <c r="D114" s="64" t="s">
        <v>312</v>
      </c>
      <c r="E114" s="327" t="s">
        <v>22</v>
      </c>
      <c r="F114" s="284">
        <v>1</v>
      </c>
      <c r="G114" s="284">
        <v>7.25</v>
      </c>
      <c r="H114" s="345">
        <f t="shared" si="16"/>
        <v>8.8699999999999992</v>
      </c>
      <c r="I114" s="345">
        <f t="shared" si="17"/>
        <v>8.8699999999999992</v>
      </c>
      <c r="J114" s="56">
        <f t="shared" si="18"/>
        <v>3.0223858270753694E-3</v>
      </c>
      <c r="K114" s="81"/>
    </row>
    <row r="115" spans="1:11" ht="38.25" customHeight="1" x14ac:dyDescent="0.2">
      <c r="B115" s="451" t="s">
        <v>1091</v>
      </c>
      <c r="C115" s="63" t="s">
        <v>1531</v>
      </c>
      <c r="D115" s="64" t="s">
        <v>968</v>
      </c>
      <c r="E115" s="327" t="s">
        <v>22</v>
      </c>
      <c r="F115" s="285">
        <v>3</v>
      </c>
      <c r="G115" s="285">
        <v>5.1369000000000007</v>
      </c>
      <c r="H115" s="285">
        <f t="shared" si="16"/>
        <v>6.29</v>
      </c>
      <c r="I115" s="285">
        <f t="shared" si="17"/>
        <v>18.87</v>
      </c>
      <c r="J115" s="56">
        <f t="shared" si="18"/>
        <v>6.4298106603057764E-3</v>
      </c>
    </row>
    <row r="116" spans="1:11" ht="35.25" customHeight="1" x14ac:dyDescent="0.2">
      <c r="B116" s="451" t="s">
        <v>1092</v>
      </c>
      <c r="C116" s="5" t="s">
        <v>1532</v>
      </c>
      <c r="D116" s="58" t="s">
        <v>313</v>
      </c>
      <c r="E116" s="59" t="s">
        <v>22</v>
      </c>
      <c r="F116" s="80">
        <v>9</v>
      </c>
      <c r="G116" s="80">
        <v>4.3469000000000007</v>
      </c>
      <c r="H116" s="80">
        <f t="shared" si="16"/>
        <v>5.32</v>
      </c>
      <c r="I116" s="80">
        <f t="shared" si="17"/>
        <v>47.88</v>
      </c>
      <c r="J116" s="56">
        <f t="shared" si="18"/>
        <v>1.6314750101507184E-2</v>
      </c>
    </row>
    <row r="117" spans="1:11" ht="45" customHeight="1" x14ac:dyDescent="0.2">
      <c r="B117" s="451" t="s">
        <v>1093</v>
      </c>
      <c r="C117" s="5" t="s">
        <v>1533</v>
      </c>
      <c r="D117" s="58" t="s">
        <v>969</v>
      </c>
      <c r="E117" s="59" t="s">
        <v>22</v>
      </c>
      <c r="F117" s="60">
        <v>6</v>
      </c>
      <c r="G117" s="60">
        <v>10.3</v>
      </c>
      <c r="H117" s="80">
        <f t="shared" si="16"/>
        <v>12.61</v>
      </c>
      <c r="I117" s="80">
        <f t="shared" si="17"/>
        <v>75.66</v>
      </c>
      <c r="J117" s="56">
        <f t="shared" si="18"/>
        <v>2.5780576288221248E-2</v>
      </c>
    </row>
    <row r="118" spans="1:11" ht="43.5" customHeight="1" x14ac:dyDescent="0.2">
      <c r="B118" s="451" t="s">
        <v>1094</v>
      </c>
      <c r="C118" s="5" t="s">
        <v>1534</v>
      </c>
      <c r="D118" s="58" t="s">
        <v>316</v>
      </c>
      <c r="E118" s="59" t="s">
        <v>22</v>
      </c>
      <c r="F118" s="80">
        <v>2</v>
      </c>
      <c r="G118" s="80">
        <v>9.3800000000000008</v>
      </c>
      <c r="H118" s="80">
        <f t="shared" si="16"/>
        <v>11.48</v>
      </c>
      <c r="I118" s="80">
        <f t="shared" si="17"/>
        <v>22.96</v>
      </c>
      <c r="J118" s="56">
        <f t="shared" si="18"/>
        <v>7.8234474170970122E-3</v>
      </c>
    </row>
    <row r="119" spans="1:11" ht="69" customHeight="1" x14ac:dyDescent="0.2">
      <c r="B119" s="451" t="s">
        <v>1095</v>
      </c>
      <c r="C119" s="5" t="s">
        <v>1535</v>
      </c>
      <c r="D119" s="58" t="s">
        <v>256</v>
      </c>
      <c r="E119" s="59" t="s">
        <v>22</v>
      </c>
      <c r="F119" s="80">
        <v>1</v>
      </c>
      <c r="G119" s="80">
        <v>41.54</v>
      </c>
      <c r="H119" s="80">
        <f t="shared" si="16"/>
        <v>50.87</v>
      </c>
      <c r="I119" s="80">
        <f t="shared" si="17"/>
        <v>50.87</v>
      </c>
      <c r="J119" s="56">
        <f t="shared" si="18"/>
        <v>1.7333570126643071E-2</v>
      </c>
    </row>
    <row r="120" spans="1:11" ht="72" customHeight="1" x14ac:dyDescent="0.2">
      <c r="B120" s="451" t="s">
        <v>1096</v>
      </c>
      <c r="C120" s="5" t="s">
        <v>1536</v>
      </c>
      <c r="D120" s="58" t="s">
        <v>260</v>
      </c>
      <c r="E120" s="59" t="s">
        <v>22</v>
      </c>
      <c r="F120" s="80">
        <v>2</v>
      </c>
      <c r="G120" s="80">
        <v>9.7799999999999994</v>
      </c>
      <c r="H120" s="80">
        <f t="shared" si="16"/>
        <v>11.97</v>
      </c>
      <c r="I120" s="80">
        <f t="shared" si="17"/>
        <v>23.94</v>
      </c>
      <c r="J120" s="56">
        <f t="shared" si="18"/>
        <v>8.157375050753592E-3</v>
      </c>
    </row>
    <row r="121" spans="1:11" ht="62.25" customHeight="1" x14ac:dyDescent="0.2">
      <c r="B121" s="451" t="s">
        <v>1097</v>
      </c>
      <c r="C121" s="5" t="s">
        <v>1537</v>
      </c>
      <c r="D121" s="58" t="s">
        <v>274</v>
      </c>
      <c r="E121" s="59" t="s">
        <v>22</v>
      </c>
      <c r="F121" s="80">
        <v>15</v>
      </c>
      <c r="G121" s="80">
        <v>5.72</v>
      </c>
      <c r="H121" s="80">
        <f t="shared" si="16"/>
        <v>7</v>
      </c>
      <c r="I121" s="80">
        <f t="shared" si="17"/>
        <v>105</v>
      </c>
      <c r="J121" s="56">
        <f t="shared" si="18"/>
        <v>3.5777960748919257E-2</v>
      </c>
    </row>
    <row r="122" spans="1:11" ht="57.75" customHeight="1" x14ac:dyDescent="0.2">
      <c r="B122" s="451" t="s">
        <v>1098</v>
      </c>
      <c r="C122" s="5" t="s">
        <v>1538</v>
      </c>
      <c r="D122" s="58" t="s">
        <v>263</v>
      </c>
      <c r="E122" s="59" t="s">
        <v>22</v>
      </c>
      <c r="F122" s="346">
        <v>1</v>
      </c>
      <c r="G122" s="80">
        <v>100.27</v>
      </c>
      <c r="H122" s="80">
        <f t="shared" si="16"/>
        <v>122.8</v>
      </c>
      <c r="I122" s="80">
        <f t="shared" si="17"/>
        <v>122.8</v>
      </c>
      <c r="J122" s="56">
        <f t="shared" si="18"/>
        <v>4.1843176952069377E-2</v>
      </c>
    </row>
    <row r="123" spans="1:11" ht="43.5" customHeight="1" x14ac:dyDescent="0.2">
      <c r="B123" s="451" t="s">
        <v>1099</v>
      </c>
      <c r="C123" s="5" t="s">
        <v>1539</v>
      </c>
      <c r="D123" s="58" t="s">
        <v>277</v>
      </c>
      <c r="E123" s="59" t="s">
        <v>22</v>
      </c>
      <c r="F123" s="80">
        <v>6</v>
      </c>
      <c r="G123" s="80">
        <v>70.8</v>
      </c>
      <c r="H123" s="80">
        <f t="shared" si="16"/>
        <v>86.7</v>
      </c>
      <c r="I123" s="80">
        <f t="shared" si="17"/>
        <v>520.20000000000005</v>
      </c>
      <c r="J123" s="56">
        <f t="shared" si="18"/>
        <v>0.17725423982464572</v>
      </c>
    </row>
    <row r="124" spans="1:11" ht="43.5" customHeight="1" x14ac:dyDescent="0.2">
      <c r="B124" s="451" t="s">
        <v>1100</v>
      </c>
      <c r="C124" s="5" t="s">
        <v>1540</v>
      </c>
      <c r="D124" s="58" t="s">
        <v>280</v>
      </c>
      <c r="E124" s="59" t="s">
        <v>22</v>
      </c>
      <c r="F124" s="80">
        <v>2</v>
      </c>
      <c r="G124" s="80">
        <v>67.45</v>
      </c>
      <c r="H124" s="80">
        <f t="shared" si="16"/>
        <v>82.6</v>
      </c>
      <c r="I124" s="80">
        <f t="shared" si="17"/>
        <v>165.2</v>
      </c>
      <c r="J124" s="56">
        <f t="shared" si="18"/>
        <v>5.6290658244966298E-2</v>
      </c>
    </row>
    <row r="125" spans="1:11" ht="54.75" customHeight="1" x14ac:dyDescent="0.2">
      <c r="B125" s="451" t="s">
        <v>1101</v>
      </c>
      <c r="C125" s="5" t="s">
        <v>1438</v>
      </c>
      <c r="D125" s="58" t="s">
        <v>612</v>
      </c>
      <c r="E125" s="59" t="s">
        <v>18</v>
      </c>
      <c r="F125" s="80">
        <v>141</v>
      </c>
      <c r="G125" s="80">
        <v>16.59</v>
      </c>
      <c r="H125" s="80">
        <f t="shared" si="16"/>
        <v>20.309999999999999</v>
      </c>
      <c r="I125" s="80">
        <f t="shared" si="17"/>
        <v>2863.71</v>
      </c>
      <c r="J125" s="56">
        <f t="shared" si="18"/>
        <v>0.9757876569170244</v>
      </c>
    </row>
    <row r="126" spans="1:11" ht="15" customHeight="1" x14ac:dyDescent="0.2">
      <c r="A126" s="47"/>
      <c r="B126" s="452"/>
      <c r="C126" s="71"/>
      <c r="D126" s="72" t="s">
        <v>17</v>
      </c>
      <c r="E126" s="315"/>
      <c r="F126" s="293"/>
      <c r="G126" s="293"/>
      <c r="H126" s="293"/>
      <c r="I126" s="316">
        <f>SUM(I99:I125)</f>
        <v>6539.19</v>
      </c>
      <c r="J126" s="235">
        <f t="shared" si="18"/>
        <v>2.2281798395211934</v>
      </c>
      <c r="K126" s="81"/>
    </row>
    <row r="127" spans="1:11" ht="33" customHeight="1" x14ac:dyDescent="0.2">
      <c r="A127" s="47"/>
      <c r="B127" s="452" t="s">
        <v>102</v>
      </c>
      <c r="C127" s="71"/>
      <c r="D127" s="48" t="s">
        <v>993</v>
      </c>
      <c r="E127" s="315"/>
      <c r="F127" s="293"/>
      <c r="G127" s="293"/>
      <c r="H127" s="293"/>
      <c r="I127" s="316"/>
      <c r="J127" s="235"/>
      <c r="K127" s="81"/>
    </row>
    <row r="128" spans="1:11" ht="28.5" customHeight="1" x14ac:dyDescent="0.2">
      <c r="A128" s="47"/>
      <c r="B128" s="452" t="s">
        <v>1102</v>
      </c>
      <c r="C128" s="5" t="s">
        <v>1541</v>
      </c>
      <c r="D128" s="58" t="s">
        <v>1010</v>
      </c>
      <c r="E128" s="61" t="s">
        <v>19</v>
      </c>
      <c r="F128" s="60">
        <v>0.28000000000000003</v>
      </c>
      <c r="G128" s="60">
        <v>120.32</v>
      </c>
      <c r="H128" s="80">
        <f t="shared" ref="H128:H131" si="19">TRUNC(G128*$J$14,2)</f>
        <v>147.35</v>
      </c>
      <c r="I128" s="80">
        <f t="shared" ref="I128:I131" si="20">TRUNC(F128*H128,2)</f>
        <v>41.25</v>
      </c>
      <c r="J128" s="56">
        <f>(I128/$I$237)*100</f>
        <v>1.4055627437075424E-2</v>
      </c>
      <c r="K128" s="81"/>
    </row>
    <row r="129" spans="1:11" ht="21" customHeight="1" x14ac:dyDescent="0.2">
      <c r="A129" s="47"/>
      <c r="B129" s="452" t="s">
        <v>1103</v>
      </c>
      <c r="C129" s="5" t="s">
        <v>1439</v>
      </c>
      <c r="D129" s="58" t="s">
        <v>1011</v>
      </c>
      <c r="E129" s="61" t="s">
        <v>19</v>
      </c>
      <c r="F129" s="60">
        <v>0.87</v>
      </c>
      <c r="G129" s="60">
        <v>45.8</v>
      </c>
      <c r="H129" s="80">
        <f t="shared" si="19"/>
        <v>56.09</v>
      </c>
      <c r="I129" s="80">
        <f t="shared" si="20"/>
        <v>48.79</v>
      </c>
      <c r="J129" s="56">
        <f>(I129/$I$237)*100</f>
        <v>1.662482576133115E-2</v>
      </c>
      <c r="K129" s="81"/>
    </row>
    <row r="130" spans="1:11" ht="49.5" customHeight="1" x14ac:dyDescent="0.2">
      <c r="A130" s="47"/>
      <c r="B130" s="452" t="s">
        <v>1104</v>
      </c>
      <c r="C130" s="5" t="s">
        <v>1440</v>
      </c>
      <c r="D130" s="58" t="s">
        <v>1012</v>
      </c>
      <c r="E130" s="61" t="s">
        <v>19</v>
      </c>
      <c r="F130" s="60">
        <v>0.25</v>
      </c>
      <c r="G130" s="60">
        <v>388.06</v>
      </c>
      <c r="H130" s="80">
        <f t="shared" si="19"/>
        <v>475.25</v>
      </c>
      <c r="I130" s="80">
        <f t="shared" si="20"/>
        <v>118.81</v>
      </c>
      <c r="J130" s="56">
        <f>(I130/$I$237)*100</f>
        <v>4.0483614443610448E-2</v>
      </c>
      <c r="K130" s="81"/>
    </row>
    <row r="131" spans="1:11" ht="22.5" customHeight="1" x14ac:dyDescent="0.2">
      <c r="A131" s="47"/>
      <c r="B131" s="452" t="s">
        <v>1105</v>
      </c>
      <c r="C131" s="5" t="s">
        <v>1441</v>
      </c>
      <c r="D131" s="58" t="s">
        <v>1013</v>
      </c>
      <c r="E131" s="61" t="s">
        <v>19</v>
      </c>
      <c r="F131" s="60">
        <v>0.47</v>
      </c>
      <c r="G131" s="60">
        <v>28.29</v>
      </c>
      <c r="H131" s="80">
        <f t="shared" si="19"/>
        <v>34.64</v>
      </c>
      <c r="I131" s="80">
        <f t="shared" si="20"/>
        <v>16.28</v>
      </c>
      <c r="J131" s="56">
        <f>(I131/$I$237)*100</f>
        <v>5.5472876284991006E-3</v>
      </c>
      <c r="K131" s="81"/>
    </row>
    <row r="132" spans="1:11" ht="15" customHeight="1" x14ac:dyDescent="0.2">
      <c r="A132" s="47"/>
      <c r="B132" s="452"/>
      <c r="C132" s="71"/>
      <c r="D132" s="72" t="s">
        <v>17</v>
      </c>
      <c r="E132" s="315"/>
      <c r="F132" s="293"/>
      <c r="G132" s="293"/>
      <c r="H132" s="293"/>
      <c r="I132" s="316">
        <f>SUM(I128:I131)</f>
        <v>225.13</v>
      </c>
      <c r="J132" s="235">
        <f>(I132/$I$237)*100</f>
        <v>7.6711355270516118E-2</v>
      </c>
      <c r="K132" s="81"/>
    </row>
    <row r="133" spans="1:11" ht="20.25" customHeight="1" x14ac:dyDescent="0.2">
      <c r="A133" s="47"/>
      <c r="B133" s="452" t="s">
        <v>107</v>
      </c>
      <c r="C133" s="71"/>
      <c r="D133" s="48" t="s">
        <v>923</v>
      </c>
      <c r="E133" s="315"/>
      <c r="F133" s="293"/>
      <c r="G133" s="293"/>
      <c r="H133" s="293"/>
      <c r="I133" s="316"/>
      <c r="J133" s="235"/>
      <c r="K133" s="81"/>
    </row>
    <row r="134" spans="1:11" ht="53.25" customHeight="1" x14ac:dyDescent="0.2">
      <c r="A134" s="47"/>
      <c r="B134" s="452" t="s">
        <v>1106</v>
      </c>
      <c r="C134" s="5" t="s">
        <v>1442</v>
      </c>
      <c r="D134" s="58" t="s">
        <v>925</v>
      </c>
      <c r="E134" s="59" t="s">
        <v>22</v>
      </c>
      <c r="F134" s="354">
        <v>4</v>
      </c>
      <c r="G134" s="354">
        <v>131.52000000000001</v>
      </c>
      <c r="H134" s="80">
        <f t="shared" ref="H134:H137" si="21">TRUNC(G134*$J$14,2)</f>
        <v>161.07</v>
      </c>
      <c r="I134" s="80">
        <f t="shared" ref="I134:I137" si="22">TRUNC(F134*H134,2)</f>
        <v>644.28</v>
      </c>
      <c r="J134" s="56">
        <f>(I134/$I$237)*100</f>
        <v>0.21953356715536856</v>
      </c>
      <c r="K134" s="81"/>
    </row>
    <row r="135" spans="1:11" ht="66" customHeight="1" x14ac:dyDescent="0.2">
      <c r="A135" s="47"/>
      <c r="B135" s="452" t="s">
        <v>1107</v>
      </c>
      <c r="C135" s="5" t="s">
        <v>1443</v>
      </c>
      <c r="D135" s="58" t="s">
        <v>929</v>
      </c>
      <c r="E135" s="59" t="s">
        <v>22</v>
      </c>
      <c r="F135" s="354">
        <v>4</v>
      </c>
      <c r="G135" s="354">
        <v>108.42</v>
      </c>
      <c r="H135" s="80">
        <f t="shared" si="21"/>
        <v>132.78</v>
      </c>
      <c r="I135" s="80">
        <f t="shared" si="22"/>
        <v>531.12</v>
      </c>
      <c r="J135" s="56">
        <f>(I135/$I$237)*100</f>
        <v>0.18097514774253332</v>
      </c>
      <c r="K135" s="81"/>
    </row>
    <row r="136" spans="1:11" ht="70.5" customHeight="1" x14ac:dyDescent="0.2">
      <c r="A136" s="47"/>
      <c r="B136" s="452" t="s">
        <v>1108</v>
      </c>
      <c r="C136" s="5" t="s">
        <v>1444</v>
      </c>
      <c r="D136" s="58" t="s">
        <v>934</v>
      </c>
      <c r="E136" s="59" t="s">
        <v>22</v>
      </c>
      <c r="F136" s="60">
        <v>6</v>
      </c>
      <c r="G136" s="60">
        <v>30.18</v>
      </c>
      <c r="H136" s="80">
        <f t="shared" si="21"/>
        <v>36.96</v>
      </c>
      <c r="I136" s="80">
        <f t="shared" si="22"/>
        <v>221.76</v>
      </c>
      <c r="J136" s="56">
        <f>(I136/$I$237)*100</f>
        <v>7.5563053101717473E-2</v>
      </c>
      <c r="K136" s="81"/>
    </row>
    <row r="137" spans="1:11" ht="23.25" customHeight="1" x14ac:dyDescent="0.2">
      <c r="A137" s="47"/>
      <c r="B137" s="452" t="s">
        <v>1109</v>
      </c>
      <c r="C137" s="5" t="s">
        <v>932</v>
      </c>
      <c r="D137" s="58" t="s">
        <v>937</v>
      </c>
      <c r="E137" s="59" t="s">
        <v>22</v>
      </c>
      <c r="F137" s="60">
        <v>22</v>
      </c>
      <c r="G137" s="60">
        <v>10.769090909090909</v>
      </c>
      <c r="H137" s="80">
        <f t="shared" si="21"/>
        <v>13.18</v>
      </c>
      <c r="I137" s="80">
        <f t="shared" si="22"/>
        <v>289.95999999999998</v>
      </c>
      <c r="J137" s="56">
        <f>(I137/$I$237)*100</f>
        <v>9.8801690464348835E-2</v>
      </c>
      <c r="K137" s="81"/>
    </row>
    <row r="138" spans="1:11" ht="15" customHeight="1" x14ac:dyDescent="0.2">
      <c r="A138" s="47"/>
      <c r="B138" s="452"/>
      <c r="C138" s="71"/>
      <c r="D138" s="72" t="s">
        <v>17</v>
      </c>
      <c r="E138" s="315"/>
      <c r="F138" s="293"/>
      <c r="G138" s="293"/>
      <c r="H138" s="293"/>
      <c r="I138" s="316">
        <f>SUM(I134:I137)</f>
        <v>1687.1200000000001</v>
      </c>
      <c r="J138" s="235">
        <f>(I138/$I$237)*100</f>
        <v>0.5748734584639682</v>
      </c>
      <c r="K138" s="81"/>
    </row>
    <row r="139" spans="1:11" ht="18" customHeight="1" x14ac:dyDescent="0.2">
      <c r="A139" s="47"/>
      <c r="B139" s="452" t="s">
        <v>108</v>
      </c>
      <c r="C139" s="71"/>
      <c r="D139" s="48" t="s">
        <v>151</v>
      </c>
      <c r="E139" s="278"/>
      <c r="F139" s="48"/>
      <c r="G139" s="48"/>
      <c r="H139" s="291"/>
      <c r="I139" s="292"/>
      <c r="J139" s="235"/>
    </row>
    <row r="140" spans="1:11" ht="72.75" customHeight="1" x14ac:dyDescent="0.2">
      <c r="A140" s="47"/>
      <c r="B140" s="452" t="s">
        <v>1110</v>
      </c>
      <c r="C140" s="62" t="s">
        <v>1542</v>
      </c>
      <c r="D140" s="260" t="s">
        <v>970</v>
      </c>
      <c r="E140" s="75" t="s">
        <v>22</v>
      </c>
      <c r="F140" s="60">
        <v>1</v>
      </c>
      <c r="G140" s="60">
        <v>399.63</v>
      </c>
      <c r="H140" s="80">
        <f t="shared" ref="H140:H153" si="23">TRUNC(G140*$J$14,2)</f>
        <v>489.42</v>
      </c>
      <c r="I140" s="80">
        <f t="shared" ref="I140:I153" si="24">TRUNC(F140*H140,2)</f>
        <v>489.42</v>
      </c>
      <c r="J140" s="56">
        <f>(I140/$I$237)*100</f>
        <v>0.16676618618796252</v>
      </c>
    </row>
    <row r="141" spans="1:11" ht="62.25" customHeight="1" x14ac:dyDescent="0.2">
      <c r="A141" s="47"/>
      <c r="B141" s="452" t="s">
        <v>1111</v>
      </c>
      <c r="C141" s="62" t="s">
        <v>1542</v>
      </c>
      <c r="D141" s="260" t="s">
        <v>971</v>
      </c>
      <c r="E141" s="75" t="s">
        <v>22</v>
      </c>
      <c r="F141" s="60">
        <v>1</v>
      </c>
      <c r="G141" s="60">
        <v>387.05</v>
      </c>
      <c r="H141" s="80">
        <f t="shared" si="23"/>
        <v>474.02</v>
      </c>
      <c r="I141" s="80">
        <f t="shared" si="24"/>
        <v>474.02</v>
      </c>
      <c r="J141" s="56">
        <f>(I141/$I$237)*100</f>
        <v>0.16151875194478768</v>
      </c>
    </row>
    <row r="142" spans="1:11" ht="63.75" customHeight="1" x14ac:dyDescent="0.2">
      <c r="A142" s="47"/>
      <c r="B142" s="452" t="s">
        <v>1112</v>
      </c>
      <c r="C142" s="62" t="s">
        <v>1543</v>
      </c>
      <c r="D142" s="260" t="s">
        <v>639</v>
      </c>
      <c r="E142" s="75" t="s">
        <v>22</v>
      </c>
      <c r="F142" s="60">
        <v>1</v>
      </c>
      <c r="G142" s="60">
        <v>324.91000000000003</v>
      </c>
      <c r="H142" s="80">
        <f t="shared" si="23"/>
        <v>397.91</v>
      </c>
      <c r="I142" s="80">
        <f t="shared" si="24"/>
        <v>397.91</v>
      </c>
      <c r="J142" s="56">
        <f>(I142/$I$237)*100</f>
        <v>0.13558484153907108</v>
      </c>
    </row>
    <row r="143" spans="1:11" ht="60.75" customHeight="1" x14ac:dyDescent="0.2">
      <c r="A143" s="47"/>
      <c r="B143" s="452" t="s">
        <v>1113</v>
      </c>
      <c r="C143" s="62" t="s">
        <v>1544</v>
      </c>
      <c r="D143" s="260" t="s">
        <v>972</v>
      </c>
      <c r="E143" s="75" t="s">
        <v>22</v>
      </c>
      <c r="F143" s="60">
        <v>1</v>
      </c>
      <c r="G143" s="60">
        <v>271.02</v>
      </c>
      <c r="H143" s="80">
        <f t="shared" si="23"/>
        <v>331.91</v>
      </c>
      <c r="I143" s="80">
        <f t="shared" si="24"/>
        <v>331.91</v>
      </c>
      <c r="J143" s="56">
        <f>(I143/$I$237)*100</f>
        <v>0.1130958376397504</v>
      </c>
    </row>
    <row r="144" spans="1:11" ht="10.5" customHeight="1" x14ac:dyDescent="0.2">
      <c r="A144" s="47"/>
      <c r="B144" s="454"/>
      <c r="C144" s="69"/>
      <c r="D144" s="487"/>
      <c r="E144" s="40"/>
      <c r="F144" s="284"/>
      <c r="G144" s="284"/>
      <c r="H144" s="285"/>
      <c r="I144" s="285"/>
      <c r="J144" s="56"/>
    </row>
    <row r="145" spans="1:11" ht="69.75" customHeight="1" x14ac:dyDescent="0.2">
      <c r="A145" s="47"/>
      <c r="B145" s="452" t="s">
        <v>1114</v>
      </c>
      <c r="C145" s="62" t="s">
        <v>644</v>
      </c>
      <c r="D145" s="260" t="s">
        <v>649</v>
      </c>
      <c r="E145" s="75" t="s">
        <v>22</v>
      </c>
      <c r="F145" s="60">
        <v>1</v>
      </c>
      <c r="G145" s="60">
        <v>2114.4</v>
      </c>
      <c r="H145" s="80">
        <f t="shared" si="23"/>
        <v>2589.5</v>
      </c>
      <c r="I145" s="80">
        <f t="shared" si="24"/>
        <v>2589.5</v>
      </c>
      <c r="J145" s="56">
        <f>(I145/$I$237)*100</f>
        <v>0.8823526605650136</v>
      </c>
    </row>
    <row r="146" spans="1:11" ht="69.75" customHeight="1" x14ac:dyDescent="0.2">
      <c r="A146" s="47"/>
      <c r="B146" s="452" t="s">
        <v>1115</v>
      </c>
      <c r="C146" s="62" t="s">
        <v>644</v>
      </c>
      <c r="D146" s="260" t="s">
        <v>650</v>
      </c>
      <c r="E146" s="75" t="s">
        <v>22</v>
      </c>
      <c r="F146" s="60">
        <v>1</v>
      </c>
      <c r="G146" s="292">
        <v>2098.5700000000002</v>
      </c>
      <c r="H146" s="80">
        <f t="shared" si="23"/>
        <v>2570.11</v>
      </c>
      <c r="I146" s="80">
        <f t="shared" si="24"/>
        <v>2570.11</v>
      </c>
      <c r="J146" s="56">
        <f>(I146/$I$237)*100</f>
        <v>0.87574566381337982</v>
      </c>
    </row>
    <row r="147" spans="1:11" ht="69.75" customHeight="1" x14ac:dyDescent="0.2">
      <c r="A147" s="47"/>
      <c r="B147" s="452" t="s">
        <v>1116</v>
      </c>
      <c r="C147" s="62" t="s">
        <v>644</v>
      </c>
      <c r="D147" s="260" t="s">
        <v>651</v>
      </c>
      <c r="E147" s="75" t="s">
        <v>22</v>
      </c>
      <c r="F147" s="60">
        <v>2</v>
      </c>
      <c r="G147" s="60">
        <v>2614.5100000000002</v>
      </c>
      <c r="H147" s="80">
        <f t="shared" si="23"/>
        <v>3201.99</v>
      </c>
      <c r="I147" s="80">
        <f t="shared" si="24"/>
        <v>6403.98</v>
      </c>
      <c r="J147" s="56">
        <f>(I147/$I$237)*100</f>
        <v>2.1821080483510853</v>
      </c>
    </row>
    <row r="148" spans="1:11" ht="69.75" customHeight="1" x14ac:dyDescent="0.2">
      <c r="A148" s="47"/>
      <c r="B148" s="452" t="s">
        <v>1117</v>
      </c>
      <c r="C148" s="62" t="s">
        <v>644</v>
      </c>
      <c r="D148" s="260" t="s">
        <v>652</v>
      </c>
      <c r="E148" s="75" t="s">
        <v>22</v>
      </c>
      <c r="F148" s="60">
        <v>1</v>
      </c>
      <c r="G148" s="60">
        <v>3672.42</v>
      </c>
      <c r="H148" s="80">
        <f t="shared" si="23"/>
        <v>4497.6099999999997</v>
      </c>
      <c r="I148" s="80">
        <f t="shared" si="24"/>
        <v>4497.6099999999997</v>
      </c>
      <c r="J148" s="56">
        <f>(I148/$I$237)*100</f>
        <v>1.5325268004185404</v>
      </c>
    </row>
    <row r="149" spans="1:11" ht="61.5" customHeight="1" x14ac:dyDescent="0.2">
      <c r="A149" s="47"/>
      <c r="B149" s="452" t="s">
        <v>1118</v>
      </c>
      <c r="C149" s="62" t="s">
        <v>1544</v>
      </c>
      <c r="D149" s="260" t="s">
        <v>973</v>
      </c>
      <c r="E149" s="75" t="s">
        <v>22</v>
      </c>
      <c r="F149" s="60">
        <v>5</v>
      </c>
      <c r="G149" s="60">
        <v>271.02</v>
      </c>
      <c r="H149" s="80">
        <f t="shared" si="23"/>
        <v>331.91</v>
      </c>
      <c r="I149" s="80">
        <f t="shared" si="24"/>
        <v>1659.55</v>
      </c>
      <c r="J149" s="56">
        <f>(I149/$I$237)*100</f>
        <v>0.56547918819875198</v>
      </c>
    </row>
    <row r="150" spans="1:11" ht="11.25" customHeight="1" x14ac:dyDescent="0.2">
      <c r="A150" s="47"/>
      <c r="B150" s="452"/>
      <c r="C150" s="5"/>
      <c r="D150" s="58"/>
      <c r="E150" s="314"/>
      <c r="F150" s="58"/>
      <c r="G150" s="58"/>
      <c r="H150" s="291"/>
      <c r="I150" s="292"/>
      <c r="J150" s="56"/>
    </row>
    <row r="151" spans="1:11" ht="94.5" customHeight="1" x14ac:dyDescent="0.2">
      <c r="A151" s="47"/>
      <c r="B151" s="452" t="s">
        <v>1119</v>
      </c>
      <c r="C151" s="62" t="s">
        <v>1545</v>
      </c>
      <c r="D151" s="260" t="s">
        <v>974</v>
      </c>
      <c r="E151" s="75" t="s">
        <v>22</v>
      </c>
      <c r="F151" s="60">
        <v>5</v>
      </c>
      <c r="G151" s="60">
        <v>424.59</v>
      </c>
      <c r="H151" s="80">
        <f t="shared" si="23"/>
        <v>519.99</v>
      </c>
      <c r="I151" s="80">
        <f t="shared" si="24"/>
        <v>2599.9499999999998</v>
      </c>
      <c r="J151" s="56">
        <f>(I151/$I$237)*100</f>
        <v>0.88591341951573932</v>
      </c>
      <c r="K151" s="468"/>
    </row>
    <row r="152" spans="1:11" ht="62.25" customHeight="1" x14ac:dyDescent="0.2">
      <c r="A152" s="47"/>
      <c r="B152" s="452" t="s">
        <v>1120</v>
      </c>
      <c r="C152" s="260" t="s">
        <v>1544</v>
      </c>
      <c r="D152" s="260" t="s">
        <v>976</v>
      </c>
      <c r="E152" s="75" t="s">
        <v>22</v>
      </c>
      <c r="F152" s="60">
        <v>5</v>
      </c>
      <c r="G152" s="60">
        <v>228.2</v>
      </c>
      <c r="H152" s="237">
        <f>TRUNC(G152*$J$14,2)</f>
        <v>279.47000000000003</v>
      </c>
      <c r="I152" s="80">
        <f>TRUNC(F152*H152,2)</f>
        <v>1397.35</v>
      </c>
      <c r="J152" s="56">
        <f>(I152/$I$237)*100</f>
        <v>0.47613650907145072</v>
      </c>
      <c r="K152" s="468"/>
    </row>
    <row r="153" spans="1:11" ht="95.25" customHeight="1" x14ac:dyDescent="0.2">
      <c r="A153" s="47"/>
      <c r="B153" s="452" t="s">
        <v>1121</v>
      </c>
      <c r="C153" s="62" t="s">
        <v>1546</v>
      </c>
      <c r="D153" s="260" t="s">
        <v>975</v>
      </c>
      <c r="E153" s="75" t="s">
        <v>22</v>
      </c>
      <c r="F153" s="60">
        <v>3</v>
      </c>
      <c r="G153" s="60">
        <v>126.54</v>
      </c>
      <c r="H153" s="237">
        <f t="shared" si="23"/>
        <v>154.97</v>
      </c>
      <c r="I153" s="80">
        <f t="shared" si="24"/>
        <v>464.91</v>
      </c>
      <c r="J153" s="56">
        <f>(I153/$I$237)*100</f>
        <v>0.15841458792171481</v>
      </c>
    </row>
    <row r="154" spans="1:11" ht="8.25" customHeight="1" x14ac:dyDescent="0.2">
      <c r="B154" s="449"/>
    </row>
    <row r="155" spans="1:11" ht="57" customHeight="1" x14ac:dyDescent="0.2">
      <c r="A155" s="47"/>
      <c r="B155" s="452" t="s">
        <v>1122</v>
      </c>
      <c r="C155" s="5" t="s">
        <v>1547</v>
      </c>
      <c r="D155" s="58" t="s">
        <v>697</v>
      </c>
      <c r="E155" s="59" t="s">
        <v>22</v>
      </c>
      <c r="F155" s="60">
        <v>2</v>
      </c>
      <c r="G155" s="60">
        <v>474.28</v>
      </c>
      <c r="H155" s="80">
        <f t="shared" ref="H155:H169" si="25">TRUNC(G155*$J$14,2)</f>
        <v>580.85</v>
      </c>
      <c r="I155" s="80">
        <f t="shared" ref="I155:I169" si="26">TRUNC(F155*H155,2)</f>
        <v>1161.7</v>
      </c>
      <c r="J155" s="372">
        <f>(I155/$I$237)*100</f>
        <v>0.39584054287637621</v>
      </c>
    </row>
    <row r="156" spans="1:11" ht="51.75" customHeight="1" x14ac:dyDescent="0.2">
      <c r="A156" s="47"/>
      <c r="B156" s="452" t="s">
        <v>1123</v>
      </c>
      <c r="C156" s="5" t="s">
        <v>1447</v>
      </c>
      <c r="D156" s="58" t="s">
        <v>698</v>
      </c>
      <c r="E156" s="59" t="s">
        <v>22</v>
      </c>
      <c r="F156" s="60">
        <v>2</v>
      </c>
      <c r="G156" s="60">
        <v>66.319999999999993</v>
      </c>
      <c r="H156" s="80">
        <f t="shared" si="25"/>
        <v>81.22</v>
      </c>
      <c r="I156" s="80">
        <f t="shared" si="26"/>
        <v>162.44</v>
      </c>
      <c r="J156" s="56">
        <f>(I156/$I$237)*100</f>
        <v>5.5350208990994708E-2</v>
      </c>
    </row>
    <row r="157" spans="1:11" ht="75" customHeight="1" x14ac:dyDescent="0.2">
      <c r="A157" s="47"/>
      <c r="B157" s="452" t="s">
        <v>1124</v>
      </c>
      <c r="C157" s="5" t="s">
        <v>690</v>
      </c>
      <c r="D157" s="58" t="s">
        <v>977</v>
      </c>
      <c r="E157" s="59" t="s">
        <v>22</v>
      </c>
      <c r="F157" s="60">
        <v>3</v>
      </c>
      <c r="G157" s="60">
        <v>1076.8399999999999</v>
      </c>
      <c r="H157" s="80">
        <f t="shared" si="25"/>
        <v>1318.8</v>
      </c>
      <c r="I157" s="80">
        <f t="shared" si="26"/>
        <v>3956.4</v>
      </c>
      <c r="J157" s="56">
        <f>(I157/$I$237)*100</f>
        <v>1.3481135610192776</v>
      </c>
    </row>
    <row r="158" spans="1:11" ht="69.75" customHeight="1" x14ac:dyDescent="0.2">
      <c r="A158" s="47"/>
      <c r="B158" s="452" t="s">
        <v>1125</v>
      </c>
      <c r="C158" s="63" t="s">
        <v>1448</v>
      </c>
      <c r="D158" s="64" t="s">
        <v>702</v>
      </c>
      <c r="E158" s="327" t="s">
        <v>22</v>
      </c>
      <c r="F158" s="284">
        <v>9</v>
      </c>
      <c r="G158" s="284">
        <v>124.39</v>
      </c>
      <c r="H158" s="285">
        <f t="shared" si="25"/>
        <v>152.34</v>
      </c>
      <c r="I158" s="285">
        <f t="shared" si="26"/>
        <v>1371.06</v>
      </c>
      <c r="J158" s="56">
        <f>(I158/$I$237)*100</f>
        <v>0.46717838918488802</v>
      </c>
    </row>
    <row r="159" spans="1:11" ht="75" customHeight="1" x14ac:dyDescent="0.2">
      <c r="A159" s="47"/>
      <c r="B159" s="452" t="s">
        <v>1126</v>
      </c>
      <c r="C159" s="5" t="s">
        <v>1449</v>
      </c>
      <c r="D159" s="58" t="s">
        <v>675</v>
      </c>
      <c r="E159" s="59" t="s">
        <v>22</v>
      </c>
      <c r="F159" s="60">
        <v>6</v>
      </c>
      <c r="G159" s="60">
        <v>102.84</v>
      </c>
      <c r="H159" s="80">
        <f t="shared" si="25"/>
        <v>125.94</v>
      </c>
      <c r="I159" s="80">
        <f t="shared" si="26"/>
        <v>755.64</v>
      </c>
      <c r="J159" s="56">
        <f>(I159/$I$237)*100</f>
        <v>0.25747865009822235</v>
      </c>
    </row>
    <row r="160" spans="1:11" ht="9" customHeight="1" x14ac:dyDescent="0.2">
      <c r="A160" s="47"/>
      <c r="B160" s="454"/>
      <c r="C160" s="63"/>
      <c r="D160" s="64"/>
      <c r="E160" s="327"/>
      <c r="F160" s="284"/>
      <c r="G160" s="284"/>
      <c r="H160" s="285"/>
      <c r="I160" s="285"/>
      <c r="J160" s="56"/>
    </row>
    <row r="161" spans="1:11" ht="58.5" customHeight="1" x14ac:dyDescent="0.2">
      <c r="A161" s="47"/>
      <c r="B161" s="452" t="s">
        <v>1127</v>
      </c>
      <c r="C161" s="79" t="s">
        <v>1450</v>
      </c>
      <c r="D161" s="260" t="s">
        <v>722</v>
      </c>
      <c r="E161" s="75" t="s">
        <v>22</v>
      </c>
      <c r="F161" s="60">
        <v>5</v>
      </c>
      <c r="G161" s="60">
        <v>161.65</v>
      </c>
      <c r="H161" s="80">
        <f t="shared" si="25"/>
        <v>197.97</v>
      </c>
      <c r="I161" s="80">
        <f t="shared" si="26"/>
        <v>989.85</v>
      </c>
      <c r="J161" s="56">
        <f t="shared" ref="J161:J170" si="27">(I161/$I$237)*100</f>
        <v>0.33728394711731169</v>
      </c>
    </row>
    <row r="162" spans="1:11" ht="32.25" customHeight="1" x14ac:dyDescent="0.2">
      <c r="A162" s="47"/>
      <c r="B162" s="452" t="s">
        <v>1128</v>
      </c>
      <c r="C162" s="79" t="s">
        <v>1548</v>
      </c>
      <c r="D162" s="260" t="s">
        <v>740</v>
      </c>
      <c r="E162" s="75" t="s">
        <v>22</v>
      </c>
      <c r="F162" s="60">
        <v>2</v>
      </c>
      <c r="G162" s="60">
        <v>73.37</v>
      </c>
      <c r="H162" s="80">
        <f t="shared" si="25"/>
        <v>89.85</v>
      </c>
      <c r="I162" s="80">
        <f t="shared" si="26"/>
        <v>179.7</v>
      </c>
      <c r="J162" s="56">
        <f t="shared" si="27"/>
        <v>6.1231424253150389E-2</v>
      </c>
    </row>
    <row r="163" spans="1:11" ht="30.75" customHeight="1" x14ac:dyDescent="0.2">
      <c r="A163" s="47"/>
      <c r="B163" s="452" t="s">
        <v>1129</v>
      </c>
      <c r="C163" s="79" t="s">
        <v>1549</v>
      </c>
      <c r="D163" s="260" t="s">
        <v>724</v>
      </c>
      <c r="E163" s="75" t="s">
        <v>22</v>
      </c>
      <c r="F163" s="60">
        <v>5</v>
      </c>
      <c r="G163" s="60">
        <v>39.68</v>
      </c>
      <c r="H163" s="80">
        <f t="shared" si="25"/>
        <v>48.59</v>
      </c>
      <c r="I163" s="80">
        <f t="shared" si="26"/>
        <v>242.95</v>
      </c>
      <c r="J163" s="56">
        <f t="shared" si="27"/>
        <v>8.2783386323332694E-2</v>
      </c>
    </row>
    <row r="164" spans="1:11" ht="41.25" customHeight="1" x14ac:dyDescent="0.2">
      <c r="A164" s="47"/>
      <c r="B164" s="452" t="s">
        <v>1130</v>
      </c>
      <c r="C164" s="79" t="s">
        <v>1451</v>
      </c>
      <c r="D164" s="260" t="s">
        <v>881</v>
      </c>
      <c r="E164" s="75" t="s">
        <v>22</v>
      </c>
      <c r="F164" s="292">
        <v>5</v>
      </c>
      <c r="G164" s="292">
        <v>35.65</v>
      </c>
      <c r="H164" s="80">
        <f t="shared" si="25"/>
        <v>43.66</v>
      </c>
      <c r="I164" s="80">
        <f t="shared" si="26"/>
        <v>218.3</v>
      </c>
      <c r="J164" s="56">
        <f t="shared" si="27"/>
        <v>7.4384084109419754E-2</v>
      </c>
    </row>
    <row r="165" spans="1:11" ht="34.5" customHeight="1" x14ac:dyDescent="0.2">
      <c r="A165" s="47"/>
      <c r="B165" s="452" t="s">
        <v>1131</v>
      </c>
      <c r="C165" s="79" t="s">
        <v>1550</v>
      </c>
      <c r="D165" s="260" t="s">
        <v>727</v>
      </c>
      <c r="E165" s="75" t="s">
        <v>22</v>
      </c>
      <c r="F165" s="60">
        <v>5</v>
      </c>
      <c r="G165" s="60">
        <v>50.76</v>
      </c>
      <c r="H165" s="80">
        <f t="shared" si="25"/>
        <v>62.16</v>
      </c>
      <c r="I165" s="80">
        <f t="shared" si="26"/>
        <v>310.8</v>
      </c>
      <c r="J165" s="56">
        <f t="shared" si="27"/>
        <v>0.10590276381680101</v>
      </c>
    </row>
    <row r="166" spans="1:11" ht="44.25" customHeight="1" x14ac:dyDescent="0.2">
      <c r="A166" s="47"/>
      <c r="B166" s="452" t="s">
        <v>1132</v>
      </c>
      <c r="C166" s="79" t="s">
        <v>1551</v>
      </c>
      <c r="D166" s="260" t="s">
        <v>730</v>
      </c>
      <c r="E166" s="75" t="s">
        <v>22</v>
      </c>
      <c r="F166" s="60">
        <v>5</v>
      </c>
      <c r="G166" s="60">
        <v>46.68</v>
      </c>
      <c r="H166" s="80">
        <f t="shared" si="25"/>
        <v>57.16</v>
      </c>
      <c r="I166" s="80">
        <f t="shared" si="26"/>
        <v>285.8</v>
      </c>
      <c r="J166" s="56">
        <f t="shared" si="27"/>
        <v>9.7384201733725001E-2</v>
      </c>
    </row>
    <row r="167" spans="1:11" ht="30.75" customHeight="1" x14ac:dyDescent="0.2">
      <c r="A167" s="47"/>
      <c r="B167" s="452" t="s">
        <v>1133</v>
      </c>
      <c r="C167" s="79" t="s">
        <v>1552</v>
      </c>
      <c r="D167" s="260" t="s">
        <v>733</v>
      </c>
      <c r="E167" s="75" t="s">
        <v>16</v>
      </c>
      <c r="F167" s="60">
        <v>2.4</v>
      </c>
      <c r="G167" s="60">
        <v>367.09</v>
      </c>
      <c r="H167" s="80">
        <f t="shared" si="25"/>
        <v>449.57</v>
      </c>
      <c r="I167" s="80">
        <f t="shared" si="26"/>
        <v>1078.96</v>
      </c>
      <c r="J167" s="56">
        <f t="shared" si="27"/>
        <v>0.36764750980622785</v>
      </c>
    </row>
    <row r="168" spans="1:11" ht="34.5" customHeight="1" x14ac:dyDescent="0.2">
      <c r="A168" s="47"/>
      <c r="B168" s="452" t="s">
        <v>1134</v>
      </c>
      <c r="C168" s="79" t="s">
        <v>51</v>
      </c>
      <c r="D168" s="347" t="s">
        <v>886</v>
      </c>
      <c r="E168" s="348" t="s">
        <v>16</v>
      </c>
      <c r="F168" s="60">
        <v>3.04</v>
      </c>
      <c r="G168" s="292">
        <v>180</v>
      </c>
      <c r="H168" s="80">
        <f t="shared" si="25"/>
        <v>220.44</v>
      </c>
      <c r="I168" s="80">
        <f t="shared" si="26"/>
        <v>670.13</v>
      </c>
      <c r="J168" s="56">
        <f t="shared" si="27"/>
        <v>0.22834176034926917</v>
      </c>
    </row>
    <row r="169" spans="1:11" ht="34.5" customHeight="1" x14ac:dyDescent="0.2">
      <c r="A169" s="47"/>
      <c r="B169" s="452" t="s">
        <v>1135</v>
      </c>
      <c r="C169" s="79" t="s">
        <v>51</v>
      </c>
      <c r="D169" s="347" t="s">
        <v>887</v>
      </c>
      <c r="E169" s="348" t="s">
        <v>16</v>
      </c>
      <c r="F169" s="60">
        <v>3.06</v>
      </c>
      <c r="G169" s="292">
        <v>180</v>
      </c>
      <c r="H169" s="80">
        <f t="shared" si="25"/>
        <v>220.44</v>
      </c>
      <c r="I169" s="80">
        <f t="shared" si="26"/>
        <v>674.54</v>
      </c>
      <c r="J169" s="56">
        <f t="shared" si="27"/>
        <v>0.22984443470072377</v>
      </c>
    </row>
    <row r="170" spans="1:11" ht="15" customHeight="1" x14ac:dyDescent="0.2">
      <c r="A170" s="47"/>
      <c r="B170" s="452"/>
      <c r="C170" s="71"/>
      <c r="D170" s="72" t="s">
        <v>17</v>
      </c>
      <c r="E170" s="315"/>
      <c r="F170" s="293"/>
      <c r="G170" s="293"/>
      <c r="H170" s="293"/>
      <c r="I170" s="316">
        <f>SUM(I140:I169)</f>
        <v>35934.490000000005</v>
      </c>
      <c r="J170" s="235">
        <f t="shared" si="27"/>
        <v>12.244407359546971</v>
      </c>
      <c r="K170" s="81"/>
    </row>
    <row r="171" spans="1:11" ht="18.75" customHeight="1" x14ac:dyDescent="0.2">
      <c r="B171" s="450" t="s">
        <v>109</v>
      </c>
      <c r="C171" s="5"/>
      <c r="D171" s="210" t="s">
        <v>663</v>
      </c>
      <c r="E171" s="279"/>
      <c r="F171" s="210"/>
      <c r="G171" s="210"/>
      <c r="H171" s="210"/>
      <c r="I171" s="292"/>
      <c r="J171" s="235"/>
    </row>
    <row r="172" spans="1:11" ht="15" customHeight="1" x14ac:dyDescent="0.2">
      <c r="B172" s="450"/>
      <c r="C172" s="5"/>
      <c r="D172" s="286" t="s">
        <v>606</v>
      </c>
      <c r="E172" s="279"/>
      <c r="F172" s="210"/>
      <c r="G172" s="210"/>
      <c r="H172" s="210"/>
      <c r="I172" s="292"/>
      <c r="J172" s="235"/>
    </row>
    <row r="173" spans="1:11" ht="23.25" customHeight="1" x14ac:dyDescent="0.2">
      <c r="B173" s="450"/>
      <c r="C173" s="5"/>
      <c r="D173" s="46" t="s">
        <v>680</v>
      </c>
      <c r="E173" s="279"/>
      <c r="F173" s="210"/>
      <c r="G173" s="210"/>
      <c r="H173" s="210"/>
      <c r="I173" s="292"/>
      <c r="J173" s="235"/>
    </row>
    <row r="174" spans="1:11" ht="66" customHeight="1" x14ac:dyDescent="0.2">
      <c r="B174" s="450" t="s">
        <v>1136</v>
      </c>
      <c r="C174" s="5" t="s">
        <v>1553</v>
      </c>
      <c r="D174" s="58" t="s">
        <v>678</v>
      </c>
      <c r="E174" s="338" t="s">
        <v>16</v>
      </c>
      <c r="F174" s="349">
        <v>21.84</v>
      </c>
      <c r="G174" s="349">
        <v>466.68</v>
      </c>
      <c r="H174" s="80">
        <f t="shared" ref="H174:H177" si="28">TRUNC(G174*$J$14,2)</f>
        <v>571.54</v>
      </c>
      <c r="I174" s="80">
        <f t="shared" ref="I174:I177" si="29">TRUNC(F174*H174,2)</f>
        <v>12482.43</v>
      </c>
      <c r="J174" s="56">
        <f>(I174/$I$237)*100</f>
        <v>4.2532941961060216</v>
      </c>
    </row>
    <row r="175" spans="1:11" ht="59.25" customHeight="1" x14ac:dyDescent="0.2">
      <c r="B175" s="450" t="s">
        <v>1137</v>
      </c>
      <c r="C175" s="5" t="s">
        <v>1553</v>
      </c>
      <c r="D175" s="58" t="s">
        <v>679</v>
      </c>
      <c r="E175" s="338" t="s">
        <v>16</v>
      </c>
      <c r="F175" s="349">
        <v>22.68</v>
      </c>
      <c r="G175" s="349">
        <v>466.68</v>
      </c>
      <c r="H175" s="80">
        <f t="shared" si="28"/>
        <v>571.54</v>
      </c>
      <c r="I175" s="80">
        <f t="shared" si="29"/>
        <v>12962.52</v>
      </c>
      <c r="J175" s="56">
        <f>(I175/$I$237)*100</f>
        <v>4.4168812549245793</v>
      </c>
    </row>
    <row r="176" spans="1:11" ht="99.75" customHeight="1" x14ac:dyDescent="0.2">
      <c r="B176" s="450" t="s">
        <v>1138</v>
      </c>
      <c r="C176" s="5" t="s">
        <v>1554</v>
      </c>
      <c r="D176" s="58" t="s">
        <v>978</v>
      </c>
      <c r="E176" s="338" t="s">
        <v>22</v>
      </c>
      <c r="F176" s="349">
        <v>25</v>
      </c>
      <c r="G176" s="349">
        <v>225.14</v>
      </c>
      <c r="H176" s="80">
        <f t="shared" si="28"/>
        <v>275.72000000000003</v>
      </c>
      <c r="I176" s="80">
        <f t="shared" si="29"/>
        <v>6893</v>
      </c>
      <c r="J176" s="56">
        <f>(I176/$I$237)*100</f>
        <v>2.3487379375457187</v>
      </c>
    </row>
    <row r="177" spans="1:11" ht="70.5" customHeight="1" x14ac:dyDescent="0.2">
      <c r="B177" s="450" t="s">
        <v>1139</v>
      </c>
      <c r="C177" s="5" t="s">
        <v>1449</v>
      </c>
      <c r="D177" s="58" t="s">
        <v>675</v>
      </c>
      <c r="E177" s="338" t="s">
        <v>22</v>
      </c>
      <c r="F177" s="349">
        <v>3</v>
      </c>
      <c r="G177" s="349">
        <v>102.84</v>
      </c>
      <c r="H177" s="80">
        <f t="shared" si="28"/>
        <v>125.94</v>
      </c>
      <c r="I177" s="80">
        <f t="shared" si="29"/>
        <v>377.82</v>
      </c>
      <c r="J177" s="56">
        <f>(I177/$I$237)*100</f>
        <v>0.12873932504911118</v>
      </c>
    </row>
    <row r="178" spans="1:11" ht="21.75" customHeight="1" x14ac:dyDescent="0.2">
      <c r="B178" s="450"/>
      <c r="C178" s="5"/>
      <c r="D178" s="46" t="s">
        <v>681</v>
      </c>
      <c r="E178" s="288"/>
      <c r="F178" s="289"/>
      <c r="G178" s="289"/>
      <c r="H178" s="289"/>
      <c r="I178" s="80"/>
      <c r="J178" s="235"/>
    </row>
    <row r="179" spans="1:11" ht="54" customHeight="1" x14ac:dyDescent="0.2">
      <c r="B179" s="450" t="s">
        <v>1140</v>
      </c>
      <c r="C179" s="5" t="s">
        <v>1553</v>
      </c>
      <c r="D179" s="58" t="s">
        <v>682</v>
      </c>
      <c r="E179" s="338" t="s">
        <v>16</v>
      </c>
      <c r="F179" s="349">
        <v>2.52</v>
      </c>
      <c r="G179" s="349">
        <v>466.68</v>
      </c>
      <c r="H179" s="80">
        <f t="shared" ref="H179:H193" si="30">TRUNC(G179*$J$14,2)</f>
        <v>571.54</v>
      </c>
      <c r="I179" s="80">
        <f t="shared" ref="I179:I193" si="31">TRUNC(F179*H179,2)</f>
        <v>1440.28</v>
      </c>
      <c r="J179" s="56">
        <f>(I179/$I$237)*100</f>
        <v>0.49076458388050881</v>
      </c>
    </row>
    <row r="180" spans="1:11" ht="51.75" customHeight="1" x14ac:dyDescent="0.2">
      <c r="B180" s="450" t="s">
        <v>1141</v>
      </c>
      <c r="C180" s="5" t="s">
        <v>1553</v>
      </c>
      <c r="D180" s="58" t="s">
        <v>796</v>
      </c>
      <c r="E180" s="338" t="s">
        <v>16</v>
      </c>
      <c r="F180" s="349">
        <v>3.36</v>
      </c>
      <c r="G180" s="349">
        <v>466.68</v>
      </c>
      <c r="H180" s="80">
        <f t="shared" si="30"/>
        <v>571.54</v>
      </c>
      <c r="I180" s="80">
        <f t="shared" si="31"/>
        <v>1920.37</v>
      </c>
      <c r="J180" s="56">
        <f>(I180/$I$237)*100</f>
        <v>0.65435164269906743</v>
      </c>
    </row>
    <row r="181" spans="1:11" ht="107.25" customHeight="1" x14ac:dyDescent="0.2">
      <c r="B181" s="450" t="s">
        <v>1142</v>
      </c>
      <c r="C181" s="63" t="s">
        <v>1555</v>
      </c>
      <c r="D181" s="64" t="s">
        <v>979</v>
      </c>
      <c r="E181" s="299" t="s">
        <v>22</v>
      </c>
      <c r="F181" s="285">
        <v>2</v>
      </c>
      <c r="G181" s="285">
        <v>423.91</v>
      </c>
      <c r="H181" s="285">
        <f t="shared" si="30"/>
        <v>519.16</v>
      </c>
      <c r="I181" s="285">
        <f t="shared" si="31"/>
        <v>1038.32</v>
      </c>
      <c r="J181" s="56">
        <f>(I181/$I$237)*100</f>
        <v>0.35379973528397946</v>
      </c>
    </row>
    <row r="182" spans="1:11" ht="23.25" customHeight="1" x14ac:dyDescent="0.2">
      <c r="B182" s="455"/>
      <c r="C182" s="63"/>
      <c r="D182" s="490" t="s">
        <v>801</v>
      </c>
      <c r="E182" s="299"/>
      <c r="F182" s="285"/>
      <c r="G182" s="285"/>
      <c r="H182" s="285"/>
      <c r="I182" s="285"/>
      <c r="J182" s="235"/>
    </row>
    <row r="183" spans="1:11" ht="58.5" customHeight="1" x14ac:dyDescent="0.2">
      <c r="B183" s="453" t="s">
        <v>1143</v>
      </c>
      <c r="C183" s="62" t="s">
        <v>1556</v>
      </c>
      <c r="D183" s="260" t="s">
        <v>980</v>
      </c>
      <c r="E183" s="75" t="s">
        <v>16</v>
      </c>
      <c r="F183" s="80">
        <v>1.68</v>
      </c>
      <c r="G183" s="80">
        <v>487.02</v>
      </c>
      <c r="H183" s="80">
        <f t="shared" si="30"/>
        <v>596.45000000000005</v>
      </c>
      <c r="I183" s="80">
        <f t="shared" si="31"/>
        <v>1002.03</v>
      </c>
      <c r="J183" s="56">
        <f>(I183/$I$237)*100</f>
        <v>0.34143419056418634</v>
      </c>
    </row>
    <row r="184" spans="1:11" ht="59.25" customHeight="1" x14ac:dyDescent="0.2">
      <c r="B184" s="453" t="s">
        <v>1144</v>
      </c>
      <c r="C184" s="62" t="s">
        <v>1557</v>
      </c>
      <c r="D184" s="260" t="s">
        <v>981</v>
      </c>
      <c r="E184" s="75" t="s">
        <v>16</v>
      </c>
      <c r="F184" s="80">
        <v>6.72</v>
      </c>
      <c r="G184" s="80">
        <v>483.36</v>
      </c>
      <c r="H184" s="80">
        <f t="shared" si="30"/>
        <v>591.97</v>
      </c>
      <c r="I184" s="80">
        <f t="shared" si="31"/>
        <v>3978.03</v>
      </c>
      <c r="J184" s="56">
        <f>(I184/$I$237)*100</f>
        <v>1.3554838209335551</v>
      </c>
    </row>
    <row r="185" spans="1:11" ht="17.25" customHeight="1" x14ac:dyDescent="0.2">
      <c r="B185" s="453"/>
      <c r="C185" s="79"/>
      <c r="D185" s="78" t="s">
        <v>607</v>
      </c>
      <c r="E185" s="75"/>
      <c r="F185" s="290"/>
      <c r="G185" s="290"/>
      <c r="H185" s="80"/>
      <c r="I185" s="80"/>
      <c r="J185" s="235"/>
    </row>
    <row r="186" spans="1:11" ht="58.5" customHeight="1" x14ac:dyDescent="0.2">
      <c r="B186" s="453" t="s">
        <v>1145</v>
      </c>
      <c r="C186" s="219" t="s">
        <v>1558</v>
      </c>
      <c r="D186" s="294" t="s">
        <v>982</v>
      </c>
      <c r="E186" s="75" t="s">
        <v>16</v>
      </c>
      <c r="F186" s="80">
        <v>0.96</v>
      </c>
      <c r="G186" s="80">
        <v>326.93</v>
      </c>
      <c r="H186" s="80">
        <f t="shared" si="30"/>
        <v>400.39</v>
      </c>
      <c r="I186" s="80">
        <f t="shared" si="31"/>
        <v>384.37</v>
      </c>
      <c r="J186" s="56">
        <f>(I186/$I$237)*100</f>
        <v>0.13097118831487709</v>
      </c>
    </row>
    <row r="187" spans="1:11" ht="57.75" customHeight="1" x14ac:dyDescent="0.2">
      <c r="B187" s="453" t="s">
        <v>1146</v>
      </c>
      <c r="C187" s="219" t="s">
        <v>1559</v>
      </c>
      <c r="D187" s="294" t="s">
        <v>983</v>
      </c>
      <c r="E187" s="350" t="s">
        <v>16</v>
      </c>
      <c r="F187" s="80">
        <v>3.6</v>
      </c>
      <c r="G187" s="80">
        <v>326.93</v>
      </c>
      <c r="H187" s="80">
        <f t="shared" si="30"/>
        <v>400.39</v>
      </c>
      <c r="I187" s="80">
        <f t="shared" si="31"/>
        <v>1441.4</v>
      </c>
      <c r="J187" s="56">
        <f>(I187/$I$237)*100</f>
        <v>0.49114621546183068</v>
      </c>
    </row>
    <row r="188" spans="1:11" ht="63.75" customHeight="1" x14ac:dyDescent="0.2">
      <c r="B188" s="453" t="s">
        <v>1147</v>
      </c>
      <c r="C188" s="219" t="s">
        <v>1559</v>
      </c>
      <c r="D188" s="294" t="s">
        <v>984</v>
      </c>
      <c r="E188" s="350" t="s">
        <v>16</v>
      </c>
      <c r="F188" s="80">
        <v>1.6</v>
      </c>
      <c r="G188" s="80">
        <v>326.93</v>
      </c>
      <c r="H188" s="80">
        <f t="shared" si="30"/>
        <v>400.39</v>
      </c>
      <c r="I188" s="80">
        <f t="shared" si="31"/>
        <v>640.62</v>
      </c>
      <c r="J188" s="56">
        <f>(I188/$I$237)*100</f>
        <v>0.21828644966640623</v>
      </c>
    </row>
    <row r="189" spans="1:11" ht="15" customHeight="1" x14ac:dyDescent="0.2">
      <c r="A189" s="47"/>
      <c r="B189" s="452"/>
      <c r="C189" s="5"/>
      <c r="D189" s="72" t="s">
        <v>17</v>
      </c>
      <c r="E189" s="315"/>
      <c r="F189" s="293"/>
      <c r="G189" s="293"/>
      <c r="H189" s="293"/>
      <c r="I189" s="316">
        <f>SUM(I174:I188)</f>
        <v>44561.19000000001</v>
      </c>
      <c r="J189" s="235">
        <f>(I189/$I$237)*100</f>
        <v>15.183890540429845</v>
      </c>
      <c r="K189" s="81"/>
    </row>
    <row r="190" spans="1:11" ht="21" customHeight="1" x14ac:dyDescent="0.2">
      <c r="B190" s="453">
        <v>12</v>
      </c>
      <c r="C190" s="79"/>
      <c r="D190" s="261" t="s">
        <v>399</v>
      </c>
      <c r="E190" s="75"/>
      <c r="F190" s="290"/>
      <c r="G190" s="290"/>
      <c r="H190" s="80"/>
      <c r="I190" s="80"/>
      <c r="J190" s="56"/>
    </row>
    <row r="191" spans="1:11" ht="65.25" customHeight="1" x14ac:dyDescent="0.2">
      <c r="B191" s="453" t="s">
        <v>1148</v>
      </c>
      <c r="C191" s="79" t="s">
        <v>1452</v>
      </c>
      <c r="D191" s="260" t="s">
        <v>794</v>
      </c>
      <c r="E191" s="75" t="s">
        <v>16</v>
      </c>
      <c r="F191" s="80">
        <v>3.36</v>
      </c>
      <c r="G191" s="80">
        <v>336.05</v>
      </c>
      <c r="H191" s="80">
        <f t="shared" si="30"/>
        <v>411.56</v>
      </c>
      <c r="I191" s="80">
        <f t="shared" si="31"/>
        <v>1382.84</v>
      </c>
      <c r="J191" s="56">
        <f>(I191/$I$237)*100</f>
        <v>0.47119233563843343</v>
      </c>
    </row>
    <row r="192" spans="1:11" ht="82.5" customHeight="1" x14ac:dyDescent="0.2">
      <c r="B192" s="453" t="s">
        <v>1149</v>
      </c>
      <c r="C192" s="79" t="s">
        <v>1453</v>
      </c>
      <c r="D192" s="260" t="s">
        <v>795</v>
      </c>
      <c r="E192" s="75" t="s">
        <v>22</v>
      </c>
      <c r="F192" s="80">
        <v>1</v>
      </c>
      <c r="G192" s="80">
        <v>473.26</v>
      </c>
      <c r="H192" s="80">
        <f t="shared" si="30"/>
        <v>579.6</v>
      </c>
      <c r="I192" s="80">
        <f t="shared" si="31"/>
        <v>579.6</v>
      </c>
      <c r="J192" s="56">
        <f>(I192/$I$237)*100</f>
        <v>0.19749434333403432</v>
      </c>
    </row>
    <row r="193" spans="1:11" ht="39.75" customHeight="1" x14ac:dyDescent="0.2">
      <c r="B193" s="453" t="s">
        <v>1150</v>
      </c>
      <c r="C193" s="79" t="s">
        <v>1454</v>
      </c>
      <c r="D193" s="260" t="s">
        <v>1179</v>
      </c>
      <c r="E193" s="75" t="s">
        <v>22</v>
      </c>
      <c r="F193" s="80">
        <v>2</v>
      </c>
      <c r="G193" s="80">
        <v>433.25</v>
      </c>
      <c r="H193" s="80">
        <f t="shared" si="30"/>
        <v>530.6</v>
      </c>
      <c r="I193" s="80">
        <f t="shared" si="31"/>
        <v>1061.2</v>
      </c>
      <c r="J193" s="56">
        <f>(I193/$I$237)*100</f>
        <v>0.36159592330241069</v>
      </c>
    </row>
    <row r="194" spans="1:11" ht="15" customHeight="1" x14ac:dyDescent="0.2">
      <c r="A194" s="47"/>
      <c r="B194" s="452"/>
      <c r="C194" s="71"/>
      <c r="D194" s="72" t="s">
        <v>17</v>
      </c>
      <c r="E194" s="315"/>
      <c r="F194" s="293"/>
      <c r="G194" s="293"/>
      <c r="H194" s="293"/>
      <c r="I194" s="316">
        <f>SUM(I191:I193)</f>
        <v>3023.6400000000003</v>
      </c>
      <c r="J194" s="235">
        <f>(I194/$I$237)*100</f>
        <v>1.0302826022748786</v>
      </c>
      <c r="K194" s="81"/>
    </row>
    <row r="195" spans="1:11" ht="18.75" x14ac:dyDescent="0.2">
      <c r="B195" s="453">
        <v>13</v>
      </c>
      <c r="C195" s="79"/>
      <c r="D195" s="261" t="s">
        <v>400</v>
      </c>
      <c r="E195" s="75"/>
      <c r="F195" s="290"/>
      <c r="G195" s="290"/>
      <c r="H195" s="290"/>
      <c r="I195" s="292"/>
      <c r="J195" s="235"/>
    </row>
    <row r="196" spans="1:11" ht="48" customHeight="1" x14ac:dyDescent="0.2">
      <c r="B196" s="453" t="s">
        <v>1151</v>
      </c>
      <c r="C196" s="79" t="s">
        <v>1560</v>
      </c>
      <c r="D196" s="260" t="s">
        <v>798</v>
      </c>
      <c r="E196" s="76" t="s">
        <v>16</v>
      </c>
      <c r="F196" s="76">
        <v>6.16</v>
      </c>
      <c r="G196" s="76">
        <v>220.56</v>
      </c>
      <c r="H196" s="80">
        <f t="shared" ref="H196" si="32">TRUNC(G196*$J$14,2)</f>
        <v>270.11</v>
      </c>
      <c r="I196" s="80">
        <f t="shared" ref="I196" si="33">TRUNC(F196*H196,2)</f>
        <v>1663.87</v>
      </c>
      <c r="J196" s="56">
        <f>(I196/$I$237)*100</f>
        <v>0.56695119572670749</v>
      </c>
    </row>
    <row r="197" spans="1:11" ht="15" customHeight="1" x14ac:dyDescent="0.2">
      <c r="A197" s="47"/>
      <c r="B197" s="452"/>
      <c r="C197" s="71"/>
      <c r="D197" s="72" t="s">
        <v>17</v>
      </c>
      <c r="E197" s="315"/>
      <c r="F197" s="293"/>
      <c r="G197" s="293"/>
      <c r="H197" s="293"/>
      <c r="I197" s="316">
        <f>SUM(I196)</f>
        <v>1663.87</v>
      </c>
      <c r="J197" s="235">
        <f>(I197/$I$237)*100</f>
        <v>0.56695119572670749</v>
      </c>
      <c r="K197" s="81"/>
    </row>
    <row r="198" spans="1:11" ht="18.75" x14ac:dyDescent="0.2">
      <c r="B198" s="453">
        <v>14</v>
      </c>
      <c r="C198" s="79"/>
      <c r="D198" s="261" t="s">
        <v>921</v>
      </c>
      <c r="E198" s="262"/>
      <c r="F198" s="290"/>
      <c r="G198" s="290"/>
      <c r="H198" s="290"/>
      <c r="I198" s="292"/>
      <c r="J198" s="235"/>
    </row>
    <row r="199" spans="1:11" ht="59.25" customHeight="1" x14ac:dyDescent="0.2">
      <c r="B199" s="453" t="s">
        <v>1152</v>
      </c>
      <c r="C199" s="79" t="s">
        <v>1561</v>
      </c>
      <c r="D199" s="260" t="s">
        <v>58</v>
      </c>
      <c r="E199" s="75" t="s">
        <v>16</v>
      </c>
      <c r="F199" s="80">
        <v>496.78</v>
      </c>
      <c r="G199" s="80">
        <v>3.24</v>
      </c>
      <c r="H199" s="80">
        <f t="shared" ref="H199:H202" si="34">TRUNC(G199*$J$14,2)</f>
        <v>3.96</v>
      </c>
      <c r="I199" s="80">
        <f t="shared" ref="I199:I202" si="35">TRUNC(F199*H199,2)</f>
        <v>1967.24</v>
      </c>
      <c r="J199" s="56">
        <f>(I199/$I$237)*100</f>
        <v>0.67032224289241837</v>
      </c>
    </row>
    <row r="200" spans="1:11" ht="84.75" customHeight="1" x14ac:dyDescent="0.2">
      <c r="B200" s="453" t="s">
        <v>1153</v>
      </c>
      <c r="C200" s="79" t="s">
        <v>1455</v>
      </c>
      <c r="D200" s="260" t="s">
        <v>805</v>
      </c>
      <c r="E200" s="75" t="s">
        <v>16</v>
      </c>
      <c r="F200" s="80">
        <v>496.78</v>
      </c>
      <c r="G200" s="80">
        <v>21.94</v>
      </c>
      <c r="H200" s="80">
        <f t="shared" si="34"/>
        <v>26.86</v>
      </c>
      <c r="I200" s="80">
        <f t="shared" si="35"/>
        <v>13343.51</v>
      </c>
      <c r="J200" s="56">
        <f>(I200/$I$237)*100</f>
        <v>4.5467007336458245</v>
      </c>
    </row>
    <row r="201" spans="1:11" ht="66.75" customHeight="1" x14ac:dyDescent="0.2">
      <c r="B201" s="453" t="s">
        <v>1154</v>
      </c>
      <c r="C201" s="79" t="s">
        <v>1456</v>
      </c>
      <c r="D201" s="260" t="s">
        <v>807</v>
      </c>
      <c r="E201" s="75" t="s">
        <v>16</v>
      </c>
      <c r="F201" s="80">
        <v>107.46</v>
      </c>
      <c r="G201" s="80">
        <v>17.25</v>
      </c>
      <c r="H201" s="80">
        <f t="shared" si="34"/>
        <v>21.12</v>
      </c>
      <c r="I201" s="80">
        <f t="shared" si="35"/>
        <v>2269.5500000000002</v>
      </c>
      <c r="J201" s="56">
        <f>(I201/$I$237)*100</f>
        <v>0.77333210302580668</v>
      </c>
    </row>
    <row r="202" spans="1:11" ht="57" customHeight="1" x14ac:dyDescent="0.2">
      <c r="B202" s="453" t="s">
        <v>1155</v>
      </c>
      <c r="C202" s="62" t="s">
        <v>1562</v>
      </c>
      <c r="D202" s="260" t="s">
        <v>985</v>
      </c>
      <c r="E202" s="75" t="s">
        <v>16</v>
      </c>
      <c r="F202" s="80">
        <v>140.75</v>
      </c>
      <c r="G202" s="80">
        <v>81.02</v>
      </c>
      <c r="H202" s="80">
        <f t="shared" si="34"/>
        <v>99.22</v>
      </c>
      <c r="I202" s="80">
        <f t="shared" si="35"/>
        <v>13965.21</v>
      </c>
      <c r="J202" s="56">
        <f>(I202/$I$237)*100</f>
        <v>4.7585403355277593</v>
      </c>
    </row>
    <row r="203" spans="1:11" ht="15" customHeight="1" x14ac:dyDescent="0.2">
      <c r="A203" s="47"/>
      <c r="B203" s="452"/>
      <c r="C203" s="71"/>
      <c r="D203" s="72" t="s">
        <v>17</v>
      </c>
      <c r="E203" s="315"/>
      <c r="F203" s="293"/>
      <c r="G203" s="293"/>
      <c r="H203" s="293"/>
      <c r="I203" s="316">
        <f>SUM(I199:I202)</f>
        <v>31545.51</v>
      </c>
      <c r="J203" s="235">
        <f>(I203/$I$237)*100</f>
        <v>10.748895415091809</v>
      </c>
      <c r="K203" s="81"/>
    </row>
    <row r="204" spans="1:11" ht="18.75" x14ac:dyDescent="0.2">
      <c r="B204" s="455">
        <v>15</v>
      </c>
      <c r="C204" s="309"/>
      <c r="D204" s="467" t="s">
        <v>401</v>
      </c>
      <c r="E204" s="303"/>
      <c r="F204" s="307"/>
      <c r="G204" s="307"/>
      <c r="H204" s="307"/>
      <c r="I204" s="308"/>
      <c r="J204" s="235"/>
    </row>
    <row r="205" spans="1:11" ht="116.25" customHeight="1" x14ac:dyDescent="0.2">
      <c r="B205" s="453" t="s">
        <v>1156</v>
      </c>
      <c r="C205" s="79" t="s">
        <v>1457</v>
      </c>
      <c r="D205" s="260" t="s">
        <v>986</v>
      </c>
      <c r="E205" s="75" t="s">
        <v>16</v>
      </c>
      <c r="F205" s="80">
        <v>239.45</v>
      </c>
      <c r="G205" s="80">
        <v>58.45</v>
      </c>
      <c r="H205" s="80">
        <f t="shared" ref="H205:H207" si="36">TRUNC(G205*$J$14,2)</f>
        <v>71.58</v>
      </c>
      <c r="I205" s="80">
        <f t="shared" ref="I205:I207" si="37">TRUNC(F205*H205,2)</f>
        <v>17139.830000000002</v>
      </c>
      <c r="J205" s="56">
        <f>(I205/$I$237)*100</f>
        <v>5.840268237934751</v>
      </c>
    </row>
    <row r="206" spans="1:11" ht="48.75" customHeight="1" x14ac:dyDescent="0.2">
      <c r="B206" s="453" t="s">
        <v>1157</v>
      </c>
      <c r="C206" s="79" t="s">
        <v>1563</v>
      </c>
      <c r="D206" s="260" t="s">
        <v>833</v>
      </c>
      <c r="E206" s="75" t="s">
        <v>16</v>
      </c>
      <c r="F206" s="80">
        <v>20.23</v>
      </c>
      <c r="G206" s="80">
        <v>81.180000000000007</v>
      </c>
      <c r="H206" s="80">
        <f t="shared" si="36"/>
        <v>99.42</v>
      </c>
      <c r="I206" s="80">
        <f t="shared" si="37"/>
        <v>2011.26</v>
      </c>
      <c r="J206" s="56">
        <f>(I206/$I$237)*100</f>
        <v>0.68532172700829852</v>
      </c>
    </row>
    <row r="207" spans="1:11" ht="68.25" customHeight="1" x14ac:dyDescent="0.2">
      <c r="B207" s="453" t="s">
        <v>1158</v>
      </c>
      <c r="C207" s="79" t="s">
        <v>1462</v>
      </c>
      <c r="D207" s="260" t="s">
        <v>912</v>
      </c>
      <c r="E207" s="76" t="s">
        <v>16</v>
      </c>
      <c r="F207" s="80">
        <v>20.23</v>
      </c>
      <c r="G207" s="80">
        <v>18.7</v>
      </c>
      <c r="H207" s="80">
        <f t="shared" si="36"/>
        <v>22.9</v>
      </c>
      <c r="I207" s="80">
        <f t="shared" si="37"/>
        <v>463.26</v>
      </c>
      <c r="J207" s="56"/>
    </row>
    <row r="208" spans="1:11" ht="15" customHeight="1" x14ac:dyDescent="0.2">
      <c r="A208" s="47"/>
      <c r="B208" s="452"/>
      <c r="C208" s="71"/>
      <c r="D208" s="72" t="s">
        <v>17</v>
      </c>
      <c r="E208" s="315"/>
      <c r="F208" s="293"/>
      <c r="G208" s="293"/>
      <c r="H208" s="293"/>
      <c r="I208" s="316">
        <f>SUM(I205:I207)</f>
        <v>19614.349999999999</v>
      </c>
      <c r="J208" s="235">
        <f>(I208/$I$237)*100</f>
        <v>6.6834423277672803</v>
      </c>
      <c r="K208" s="81"/>
    </row>
    <row r="209" spans="1:11" ht="18.75" x14ac:dyDescent="0.2">
      <c r="B209" s="453">
        <v>16</v>
      </c>
      <c r="C209" s="79"/>
      <c r="D209" s="261" t="s">
        <v>945</v>
      </c>
      <c r="E209" s="262"/>
      <c r="F209" s="290"/>
      <c r="G209" s="290"/>
      <c r="H209" s="290"/>
      <c r="I209" s="292"/>
      <c r="J209" s="235"/>
    </row>
    <row r="210" spans="1:11" ht="80.25" customHeight="1" x14ac:dyDescent="0.2">
      <c r="B210" s="453" t="s">
        <v>1159</v>
      </c>
      <c r="C210" s="62" t="s">
        <v>1456</v>
      </c>
      <c r="D210" s="260" t="s">
        <v>840</v>
      </c>
      <c r="E210" s="75" t="s">
        <v>16</v>
      </c>
      <c r="F210" s="80">
        <v>15.42</v>
      </c>
      <c r="G210" s="80">
        <v>19.37</v>
      </c>
      <c r="H210" s="80">
        <f t="shared" ref="H210:H214" si="38">TRUNC(G210*$J$14,2)</f>
        <v>23.72</v>
      </c>
      <c r="I210" s="80">
        <f t="shared" ref="I210:I214" si="39">TRUNC(F210*H210,2)</f>
        <v>365.76</v>
      </c>
      <c r="J210" s="56">
        <f t="shared" ref="J210:J215" si="40">(I210/$I$237)*100</f>
        <v>0.12462997070023531</v>
      </c>
    </row>
    <row r="211" spans="1:11" ht="91.5" customHeight="1" x14ac:dyDescent="0.2">
      <c r="B211" s="453" t="s">
        <v>1160</v>
      </c>
      <c r="C211" s="62" t="s">
        <v>1564</v>
      </c>
      <c r="D211" s="260" t="s">
        <v>836</v>
      </c>
      <c r="E211" s="75" t="s">
        <v>18</v>
      </c>
      <c r="F211" s="80">
        <v>220.26</v>
      </c>
      <c r="G211" s="80">
        <v>21.8</v>
      </c>
      <c r="H211" s="80">
        <f t="shared" si="38"/>
        <v>26.69</v>
      </c>
      <c r="I211" s="80">
        <f t="shared" si="39"/>
        <v>5878.73</v>
      </c>
      <c r="J211" s="56">
        <f t="shared" si="40"/>
        <v>2.0031330589856582</v>
      </c>
    </row>
    <row r="212" spans="1:11" ht="32.25" customHeight="1" x14ac:dyDescent="0.2">
      <c r="B212" s="453" t="s">
        <v>1161</v>
      </c>
      <c r="C212" s="79" t="s">
        <v>1565</v>
      </c>
      <c r="D212" s="260" t="s">
        <v>842</v>
      </c>
      <c r="E212" s="75" t="s">
        <v>18</v>
      </c>
      <c r="F212" s="80">
        <v>26.4</v>
      </c>
      <c r="G212" s="80">
        <v>84.6</v>
      </c>
      <c r="H212" s="80">
        <f t="shared" si="38"/>
        <v>103.6</v>
      </c>
      <c r="I212" s="80">
        <f t="shared" si="39"/>
        <v>2735.04</v>
      </c>
      <c r="J212" s="56">
        <f t="shared" si="40"/>
        <v>0.9319443215878489</v>
      </c>
    </row>
    <row r="213" spans="1:11" ht="85.5" customHeight="1" x14ac:dyDescent="0.2">
      <c r="B213" s="453" t="s">
        <v>1162</v>
      </c>
      <c r="C213" s="79" t="s">
        <v>1566</v>
      </c>
      <c r="D213" s="260" t="s">
        <v>853</v>
      </c>
      <c r="E213" s="75" t="s">
        <v>18</v>
      </c>
      <c r="F213" s="80">
        <v>16.600000000000001</v>
      </c>
      <c r="G213" s="80">
        <v>41.55</v>
      </c>
      <c r="H213" s="80">
        <f t="shared" si="38"/>
        <v>50.88</v>
      </c>
      <c r="I213" s="80">
        <f t="shared" si="39"/>
        <v>844.6</v>
      </c>
      <c r="J213" s="56">
        <f t="shared" si="40"/>
        <v>0.28779110141464004</v>
      </c>
    </row>
    <row r="214" spans="1:11" ht="78" customHeight="1" x14ac:dyDescent="0.2">
      <c r="B214" s="453" t="s">
        <v>1163</v>
      </c>
      <c r="C214" s="62" t="s">
        <v>1567</v>
      </c>
      <c r="D214" s="260" t="s">
        <v>855</v>
      </c>
      <c r="E214" s="75" t="s">
        <v>18</v>
      </c>
      <c r="F214" s="80">
        <v>6.25</v>
      </c>
      <c r="G214" s="80">
        <v>51.77</v>
      </c>
      <c r="H214" s="80">
        <f t="shared" si="38"/>
        <v>63.4</v>
      </c>
      <c r="I214" s="80">
        <f t="shared" si="39"/>
        <v>396.25</v>
      </c>
      <c r="J214" s="56">
        <f t="shared" si="40"/>
        <v>0.13501920901675482</v>
      </c>
    </row>
    <row r="215" spans="1:11" ht="15" customHeight="1" x14ac:dyDescent="0.2">
      <c r="A215" s="47"/>
      <c r="B215" s="452"/>
      <c r="C215" s="71"/>
      <c r="D215" s="72" t="s">
        <v>17</v>
      </c>
      <c r="E215" s="315"/>
      <c r="F215" s="293"/>
      <c r="G215" s="293"/>
      <c r="H215" s="293"/>
      <c r="I215" s="316">
        <f>SUM(I210:I214)</f>
        <v>10220.379999999999</v>
      </c>
      <c r="J215" s="235">
        <f t="shared" si="40"/>
        <v>3.4825176617051365</v>
      </c>
      <c r="K215" s="81"/>
    </row>
    <row r="216" spans="1:11" ht="18.75" x14ac:dyDescent="0.2">
      <c r="B216" s="453">
        <v>17</v>
      </c>
      <c r="C216" s="79"/>
      <c r="D216" s="261" t="s">
        <v>24</v>
      </c>
      <c r="E216" s="262"/>
      <c r="F216" s="80"/>
      <c r="G216" s="80"/>
      <c r="H216" s="80"/>
      <c r="I216" s="80"/>
      <c r="J216" s="235"/>
    </row>
    <row r="217" spans="1:11" ht="30.75" customHeight="1" x14ac:dyDescent="0.2">
      <c r="B217" s="453"/>
      <c r="C217" s="79"/>
      <c r="D217" s="78" t="s">
        <v>856</v>
      </c>
      <c r="E217" s="262"/>
      <c r="F217" s="80"/>
      <c r="G217" s="80"/>
      <c r="H217" s="80"/>
      <c r="I217" s="80"/>
      <c r="J217" s="235"/>
    </row>
    <row r="218" spans="1:11" ht="48" customHeight="1" x14ac:dyDescent="0.2">
      <c r="B218" s="453" t="s">
        <v>1164</v>
      </c>
      <c r="C218" s="79" t="s">
        <v>1464</v>
      </c>
      <c r="D218" s="260" t="s">
        <v>858</v>
      </c>
      <c r="E218" s="75" t="s">
        <v>16</v>
      </c>
      <c r="F218" s="80">
        <v>259.97000000000003</v>
      </c>
      <c r="G218" s="80">
        <v>19.37</v>
      </c>
      <c r="H218" s="80">
        <f t="shared" ref="H218:H224" si="41">TRUNC(G218*$J$14,2)</f>
        <v>23.72</v>
      </c>
      <c r="I218" s="80">
        <f t="shared" ref="I218:I224" si="42">TRUNC(F218*H218,2)</f>
        <v>6166.48</v>
      </c>
      <c r="J218" s="56">
        <f>(I218/$I$237)*100</f>
        <v>2.1011817085618629</v>
      </c>
      <c r="K218" s="468"/>
    </row>
    <row r="219" spans="1:11" ht="32.25" customHeight="1" x14ac:dyDescent="0.2">
      <c r="B219" s="453" t="s">
        <v>1165</v>
      </c>
      <c r="C219" s="79" t="s">
        <v>1568</v>
      </c>
      <c r="D219" s="260" t="s">
        <v>860</v>
      </c>
      <c r="E219" s="75" t="s">
        <v>16</v>
      </c>
      <c r="F219" s="80">
        <v>259.97000000000003</v>
      </c>
      <c r="G219" s="80">
        <v>3.57</v>
      </c>
      <c r="H219" s="80">
        <f t="shared" si="41"/>
        <v>4.37</v>
      </c>
      <c r="I219" s="80">
        <f t="shared" si="42"/>
        <v>1136.06</v>
      </c>
      <c r="J219" s="56">
        <f>(I219/$I$237)*100</f>
        <v>0.3871039056039734</v>
      </c>
    </row>
    <row r="220" spans="1:11" ht="31.5" customHeight="1" x14ac:dyDescent="0.2">
      <c r="B220" s="453" t="s">
        <v>1166</v>
      </c>
      <c r="C220" s="79" t="s">
        <v>1569</v>
      </c>
      <c r="D220" s="260" t="s">
        <v>864</v>
      </c>
      <c r="E220" s="75" t="s">
        <v>16</v>
      </c>
      <c r="F220" s="80">
        <v>259.97000000000003</v>
      </c>
      <c r="G220" s="80">
        <v>21.09</v>
      </c>
      <c r="H220" s="80">
        <f t="shared" si="41"/>
        <v>25.82</v>
      </c>
      <c r="I220" s="80">
        <f t="shared" si="42"/>
        <v>6712.42</v>
      </c>
      <c r="J220" s="56">
        <f>(I220/$I$237)*100</f>
        <v>2.2872066599072443</v>
      </c>
    </row>
    <row r="221" spans="1:11" ht="45.75" customHeight="1" x14ac:dyDescent="0.2">
      <c r="B221" s="453" t="s">
        <v>1167</v>
      </c>
      <c r="C221" s="79" t="s">
        <v>1570</v>
      </c>
      <c r="D221" s="260" t="s">
        <v>867</v>
      </c>
      <c r="E221" s="75" t="s">
        <v>16</v>
      </c>
      <c r="F221" s="80">
        <v>259.97000000000003</v>
      </c>
      <c r="G221" s="80">
        <v>12</v>
      </c>
      <c r="H221" s="80">
        <f t="shared" si="41"/>
        <v>14.69</v>
      </c>
      <c r="I221" s="80">
        <f t="shared" si="42"/>
        <v>3818.95</v>
      </c>
      <c r="J221" s="56">
        <f>(I221/$I$237)*100</f>
        <v>1.3012785066865258</v>
      </c>
    </row>
    <row r="222" spans="1:11" ht="33" customHeight="1" x14ac:dyDescent="0.2">
      <c r="B222" s="453"/>
      <c r="C222" s="79"/>
      <c r="D222" s="78" t="s">
        <v>523</v>
      </c>
      <c r="E222" s="75"/>
      <c r="F222" s="80"/>
      <c r="G222" s="80"/>
      <c r="H222" s="313"/>
      <c r="I222" s="313"/>
      <c r="J222" s="235"/>
    </row>
    <row r="223" spans="1:11" ht="42" customHeight="1" x14ac:dyDescent="0.2">
      <c r="B223" s="453" t="s">
        <v>1168</v>
      </c>
      <c r="C223" s="79" t="s">
        <v>1464</v>
      </c>
      <c r="D223" s="260" t="s">
        <v>858</v>
      </c>
      <c r="E223" s="75" t="s">
        <v>16</v>
      </c>
      <c r="F223" s="80">
        <v>147.35</v>
      </c>
      <c r="G223" s="80">
        <v>19.37</v>
      </c>
      <c r="H223" s="80">
        <f t="shared" si="41"/>
        <v>23.72</v>
      </c>
      <c r="I223" s="80">
        <f t="shared" si="42"/>
        <v>3495.14</v>
      </c>
      <c r="J223" s="56">
        <f>(I223/$I$237)*100</f>
        <v>1.1909426831616921</v>
      </c>
      <c r="K223" s="468"/>
    </row>
    <row r="224" spans="1:11" ht="83.25" customHeight="1" x14ac:dyDescent="0.2">
      <c r="B224" s="453" t="s">
        <v>1169</v>
      </c>
      <c r="C224" s="79" t="s">
        <v>1465</v>
      </c>
      <c r="D224" s="260" t="s">
        <v>870</v>
      </c>
      <c r="E224" s="75" t="s">
        <v>16</v>
      </c>
      <c r="F224" s="80">
        <v>644.13</v>
      </c>
      <c r="G224" s="80">
        <v>36.4</v>
      </c>
      <c r="H224" s="80">
        <f t="shared" si="41"/>
        <v>44.57</v>
      </c>
      <c r="I224" s="80">
        <f t="shared" si="42"/>
        <v>28708.87</v>
      </c>
      <c r="J224" s="56">
        <f>(I224/$I$237)*100</f>
        <v>9.7823316571983376</v>
      </c>
    </row>
    <row r="225" spans="1:11" ht="15" customHeight="1" x14ac:dyDescent="0.2">
      <c r="A225" s="47"/>
      <c r="B225" s="452"/>
      <c r="C225" s="71"/>
      <c r="D225" s="72" t="s">
        <v>17</v>
      </c>
      <c r="E225" s="315"/>
      <c r="F225" s="293"/>
      <c r="G225" s="293"/>
      <c r="H225" s="293"/>
      <c r="I225" s="316">
        <f>SUM(I218:I224)</f>
        <v>50037.919999999998</v>
      </c>
      <c r="J225" s="235">
        <f>(I225/$I$237)*100</f>
        <v>17.050045121119638</v>
      </c>
      <c r="K225" s="81"/>
    </row>
    <row r="226" spans="1:11" ht="15" customHeight="1" x14ac:dyDescent="0.2">
      <c r="B226" s="450" t="s">
        <v>207</v>
      </c>
      <c r="C226" s="5"/>
      <c r="D226" s="210" t="s">
        <v>25</v>
      </c>
      <c r="E226" s="279"/>
      <c r="F226" s="210"/>
      <c r="G226" s="210"/>
      <c r="H226" s="210"/>
      <c r="I226" s="292"/>
      <c r="J226" s="235"/>
    </row>
    <row r="227" spans="1:11" ht="33" customHeight="1" x14ac:dyDescent="0.2">
      <c r="B227" s="450" t="s">
        <v>1170</v>
      </c>
      <c r="C227" s="5" t="s">
        <v>1466</v>
      </c>
      <c r="D227" s="339" t="s">
        <v>904</v>
      </c>
      <c r="E227" s="338" t="s">
        <v>16</v>
      </c>
      <c r="F227" s="351">
        <v>259.68</v>
      </c>
      <c r="G227" s="352">
        <v>7.24</v>
      </c>
      <c r="H227" s="353">
        <f t="shared" ref="H227:H231" si="43">TRUNC(G227*$J$14,2)</f>
        <v>8.86</v>
      </c>
      <c r="I227" s="353">
        <f t="shared" ref="I227:I231" si="44">TRUNC(F227*H227,2)</f>
        <v>2300.7600000000002</v>
      </c>
      <c r="J227" s="56">
        <f t="shared" ref="J227:J232" si="45">(I227/$I$237)*100</f>
        <v>0.78396667593031888</v>
      </c>
    </row>
    <row r="228" spans="1:11" ht="33" customHeight="1" x14ac:dyDescent="0.2">
      <c r="B228" s="450" t="s">
        <v>1171</v>
      </c>
      <c r="C228" s="5" t="s">
        <v>1467</v>
      </c>
      <c r="D228" s="58" t="s">
        <v>901</v>
      </c>
      <c r="E228" s="338" t="s">
        <v>16</v>
      </c>
      <c r="F228" s="351">
        <v>140.75</v>
      </c>
      <c r="G228" s="352">
        <v>6.33</v>
      </c>
      <c r="H228" s="353">
        <f t="shared" si="43"/>
        <v>7.75</v>
      </c>
      <c r="I228" s="353">
        <f t="shared" si="44"/>
        <v>1090.81</v>
      </c>
      <c r="J228" s="56">
        <f t="shared" si="45"/>
        <v>0.37168530823360585</v>
      </c>
    </row>
    <row r="229" spans="1:11" ht="33" customHeight="1" x14ac:dyDescent="0.2">
      <c r="B229" s="450" t="s">
        <v>1172</v>
      </c>
      <c r="C229" s="5" t="s">
        <v>1468</v>
      </c>
      <c r="D229" s="339" t="s">
        <v>898</v>
      </c>
      <c r="E229" s="338" t="s">
        <v>16</v>
      </c>
      <c r="F229" s="351">
        <v>27.02</v>
      </c>
      <c r="G229" s="352">
        <v>10.98</v>
      </c>
      <c r="H229" s="353">
        <f t="shared" si="43"/>
        <v>13.44</v>
      </c>
      <c r="I229" s="353">
        <f t="shared" si="44"/>
        <v>363.14</v>
      </c>
      <c r="J229" s="56">
        <f t="shared" si="45"/>
        <v>0.12373722539392894</v>
      </c>
    </row>
    <row r="230" spans="1:11" ht="33" customHeight="1" x14ac:dyDescent="0.2">
      <c r="B230" s="450" t="s">
        <v>1173</v>
      </c>
      <c r="C230" s="5" t="s">
        <v>1469</v>
      </c>
      <c r="D230" s="339" t="s">
        <v>903</v>
      </c>
      <c r="E230" s="338" t="s">
        <v>22</v>
      </c>
      <c r="F230" s="351">
        <v>17</v>
      </c>
      <c r="G230" s="352">
        <v>10.14</v>
      </c>
      <c r="H230" s="353">
        <f t="shared" si="43"/>
        <v>12.41</v>
      </c>
      <c r="I230" s="353">
        <f t="shared" si="44"/>
        <v>210.97</v>
      </c>
      <c r="J230" s="56">
        <f t="shared" si="45"/>
        <v>7.1886441706661863E-2</v>
      </c>
    </row>
    <row r="231" spans="1:11" ht="80.25" customHeight="1" x14ac:dyDescent="0.2">
      <c r="B231" s="450" t="s">
        <v>1174</v>
      </c>
      <c r="C231" s="49" t="s">
        <v>1421</v>
      </c>
      <c r="D231" s="58" t="s">
        <v>538</v>
      </c>
      <c r="E231" s="338" t="s">
        <v>22</v>
      </c>
      <c r="F231" s="352">
        <v>11</v>
      </c>
      <c r="G231" s="352">
        <v>238.08</v>
      </c>
      <c r="H231" s="353">
        <f t="shared" si="43"/>
        <v>291.57</v>
      </c>
      <c r="I231" s="353">
        <f t="shared" si="44"/>
        <v>3207.27</v>
      </c>
      <c r="J231" s="56">
        <f t="shared" si="45"/>
        <v>1.0928531444874883</v>
      </c>
    </row>
    <row r="232" spans="1:11" x14ac:dyDescent="0.2">
      <c r="A232" s="47"/>
      <c r="B232" s="329"/>
      <c r="C232" s="71"/>
      <c r="D232" s="72" t="s">
        <v>17</v>
      </c>
      <c r="E232" s="315"/>
      <c r="F232" s="293"/>
      <c r="G232" s="293"/>
      <c r="H232" s="316"/>
      <c r="I232" s="316">
        <f>SUM(I227:I231)</f>
        <v>7172.95</v>
      </c>
      <c r="J232" s="235">
        <f t="shared" si="45"/>
        <v>2.4441287957520039</v>
      </c>
    </row>
    <row r="233" spans="1:11" x14ac:dyDescent="0.2">
      <c r="A233" s="47"/>
      <c r="B233" s="329"/>
      <c r="C233" s="71"/>
      <c r="D233" s="72"/>
      <c r="E233" s="315"/>
      <c r="F233" s="293"/>
      <c r="G233" s="293"/>
      <c r="H233" s="316"/>
      <c r="I233" s="316"/>
      <c r="J233" s="235"/>
    </row>
    <row r="234" spans="1:11" x14ac:dyDescent="0.2">
      <c r="A234" s="47"/>
      <c r="B234" s="329"/>
      <c r="C234" s="71"/>
      <c r="D234" s="72"/>
      <c r="E234" s="315"/>
      <c r="F234" s="293"/>
      <c r="G234" s="293"/>
      <c r="H234" s="316"/>
      <c r="I234" s="316"/>
      <c r="J234" s="235"/>
    </row>
    <row r="235" spans="1:11" x14ac:dyDescent="0.2">
      <c r="A235" s="47"/>
      <c r="B235" s="329"/>
      <c r="C235" s="71"/>
      <c r="D235" s="259"/>
      <c r="E235" s="59"/>
      <c r="F235" s="60"/>
      <c r="G235" s="60"/>
      <c r="H235" s="237"/>
      <c r="I235" s="237"/>
      <c r="J235" s="235"/>
    </row>
    <row r="236" spans="1:11" x14ac:dyDescent="0.2">
      <c r="A236" s="47"/>
      <c r="B236" s="329"/>
      <c r="C236" s="71"/>
      <c r="D236" s="259"/>
      <c r="E236" s="59"/>
      <c r="F236" s="60"/>
      <c r="G236" s="60"/>
      <c r="H236" s="237"/>
      <c r="I236" s="237"/>
      <c r="J236" s="235"/>
    </row>
    <row r="237" spans="1:11" s="336" customFormat="1" ht="15" customHeight="1" x14ac:dyDescent="0.25">
      <c r="A237" s="328"/>
      <c r="B237" s="329"/>
      <c r="C237" s="329"/>
      <c r="D237" s="330" t="s">
        <v>879</v>
      </c>
      <c r="E237" s="331"/>
      <c r="F237" s="332"/>
      <c r="G237" s="332"/>
      <c r="H237" s="332"/>
      <c r="I237" s="333">
        <f>I24+I32+I49+I55+I82+I97+I126+I132+I138+I170+I189+I194+I197+I203+I208+I215+I225+I232</f>
        <v>293476.76000000007</v>
      </c>
      <c r="J237" s="334">
        <f>(I237/$I$237)*100</f>
        <v>100</v>
      </c>
      <c r="K237" s="335"/>
    </row>
    <row r="238" spans="1:11" ht="15" customHeight="1" x14ac:dyDescent="0.2">
      <c r="A238" s="47"/>
      <c r="B238" s="329"/>
      <c r="C238" s="71"/>
      <c r="D238" s="72"/>
      <c r="E238" s="59"/>
      <c r="F238" s="60"/>
      <c r="G238" s="60"/>
      <c r="H238" s="60"/>
      <c r="I238" s="237"/>
      <c r="J238" s="236"/>
      <c r="K238" s="81"/>
    </row>
    <row r="239" spans="1:11" x14ac:dyDescent="0.2">
      <c r="A239" s="47"/>
      <c r="B239" s="329"/>
      <c r="C239" s="71"/>
      <c r="D239" s="259"/>
      <c r="E239" s="59"/>
      <c r="F239" s="60"/>
      <c r="G239" s="60"/>
      <c r="H239" s="237"/>
      <c r="I239" s="237"/>
      <c r="J239" s="238"/>
    </row>
    <row r="240" spans="1:11" x14ac:dyDescent="0.2">
      <c r="A240" s="47"/>
      <c r="B240" s="329"/>
      <c r="C240" s="71"/>
      <c r="D240" s="259"/>
      <c r="E240" s="59"/>
      <c r="F240" s="60"/>
      <c r="G240" s="60"/>
      <c r="H240" s="237"/>
      <c r="I240" s="237"/>
      <c r="J240" s="238"/>
    </row>
    <row r="241" spans="1:10" x14ac:dyDescent="0.2">
      <c r="A241" s="47"/>
      <c r="B241" s="488"/>
      <c r="C241" s="489"/>
      <c r="D241" s="491"/>
      <c r="E241" s="326"/>
      <c r="F241" s="55"/>
      <c r="G241" s="55"/>
      <c r="H241" s="54"/>
      <c r="I241" s="54"/>
      <c r="J241" s="235"/>
    </row>
    <row r="242" spans="1:10" x14ac:dyDescent="0.2">
      <c r="A242" s="47"/>
      <c r="B242" s="488"/>
      <c r="C242" s="489"/>
      <c r="D242" s="491"/>
      <c r="E242" s="326"/>
      <c r="F242" s="55"/>
      <c r="G242" s="55"/>
      <c r="H242" s="54"/>
      <c r="I242" s="54"/>
      <c r="J242" s="235"/>
    </row>
  </sheetData>
  <mergeCells count="22">
    <mergeCell ref="H17:H18"/>
    <mergeCell ref="I17:I18"/>
    <mergeCell ref="J17:J18"/>
    <mergeCell ref="B17:B18"/>
    <mergeCell ref="C17:C18"/>
    <mergeCell ref="D17:D18"/>
    <mergeCell ref="E17:E18"/>
    <mergeCell ref="F17:F18"/>
    <mergeCell ref="G17:G18"/>
    <mergeCell ref="G16:J16"/>
    <mergeCell ref="D5:F5"/>
    <mergeCell ref="D6:F6"/>
    <mergeCell ref="D7:F7"/>
    <mergeCell ref="D8:F8"/>
    <mergeCell ref="H8:J8"/>
    <mergeCell ref="D9:F9"/>
    <mergeCell ref="H9:J9"/>
    <mergeCell ref="D10:F10"/>
    <mergeCell ref="H10:J10"/>
    <mergeCell ref="D11:F11"/>
    <mergeCell ref="H11:J11"/>
    <mergeCell ref="B12:J12"/>
  </mergeCells>
  <pageMargins left="0.51181102362204722" right="0.51181102362204722" top="0.78740157480314965" bottom="0.78740157480314965" header="0.31496062992125984" footer="0.31496062992125984"/>
  <pageSetup paperSize="9" scale="65" orientation="portrait" r:id="rId1"/>
  <headerFooter>
    <oddFooter>&amp;CFolha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95"/>
  <sheetViews>
    <sheetView topLeftCell="C1" zoomScaleNormal="100" workbookViewId="0">
      <selection activeCell="R4" sqref="R4"/>
    </sheetView>
  </sheetViews>
  <sheetFormatPr defaultRowHeight="15" x14ac:dyDescent="0.25"/>
  <cols>
    <col min="1" max="1" width="20.42578125" style="83" customWidth="1"/>
    <col min="2" max="2" width="7.140625" style="83" customWidth="1"/>
    <col min="3" max="3" width="44" style="83" customWidth="1"/>
    <col min="4" max="4" width="9.140625" style="178"/>
    <col min="5" max="5" width="11.28515625" style="83" bestFit="1" customWidth="1"/>
    <col min="6" max="6" width="2.5703125" style="84" customWidth="1"/>
    <col min="7" max="7" width="11.7109375" style="84" customWidth="1"/>
    <col min="8" max="17" width="11.7109375" style="83" customWidth="1"/>
    <col min="18" max="16384" width="9.140625" style="83"/>
  </cols>
  <sheetData>
    <row r="2" spans="2:18" ht="15.75" thickBot="1" x14ac:dyDescent="0.3"/>
    <row r="3" spans="2:18" ht="18.75" customHeight="1" x14ac:dyDescent="0.25">
      <c r="C3" s="746" t="s">
        <v>148</v>
      </c>
      <c r="D3" s="747"/>
      <c r="E3" s="748"/>
      <c r="H3" s="734" t="s">
        <v>526</v>
      </c>
      <c r="I3" s="735"/>
      <c r="J3" s="735"/>
      <c r="K3" s="736"/>
      <c r="L3" s="275"/>
      <c r="M3" s="743" t="s">
        <v>896</v>
      </c>
      <c r="N3" s="735"/>
      <c r="O3" s="735"/>
      <c r="P3" s="736"/>
      <c r="Q3" s="274"/>
      <c r="R3" s="274"/>
    </row>
    <row r="4" spans="2:18" ht="42.75" customHeight="1" x14ac:dyDescent="0.25">
      <c r="C4" s="746" t="s">
        <v>149</v>
      </c>
      <c r="D4" s="747"/>
      <c r="E4" s="748"/>
      <c r="H4" s="737"/>
      <c r="I4" s="738"/>
      <c r="J4" s="738"/>
      <c r="K4" s="739"/>
      <c r="L4" s="275"/>
      <c r="M4" s="737"/>
      <c r="N4" s="738"/>
      <c r="O4" s="738"/>
      <c r="P4" s="739"/>
      <c r="Q4" s="274"/>
      <c r="R4" s="274"/>
    </row>
    <row r="5" spans="2:18" ht="19.5" customHeight="1" thickBot="1" x14ac:dyDescent="0.35">
      <c r="C5" s="268"/>
      <c r="D5" s="269"/>
      <c r="E5" s="268"/>
      <c r="H5" s="740"/>
      <c r="I5" s="741"/>
      <c r="J5" s="741"/>
      <c r="K5" s="742"/>
      <c r="L5" s="275"/>
      <c r="M5" s="740"/>
      <c r="N5" s="741"/>
      <c r="O5" s="741"/>
      <c r="P5" s="742"/>
      <c r="Q5" s="274"/>
      <c r="R5" s="274"/>
    </row>
    <row r="6" spans="2:18" ht="18.75" x14ac:dyDescent="0.3">
      <c r="C6" s="270" t="s">
        <v>323</v>
      </c>
      <c r="D6" s="271">
        <v>9.9</v>
      </c>
      <c r="E6" s="272" t="s">
        <v>324</v>
      </c>
      <c r="F6" s="203"/>
    </row>
    <row r="7" spans="2:18" ht="18.75" x14ac:dyDescent="0.3">
      <c r="C7" s="270" t="s">
        <v>325</v>
      </c>
      <c r="D7" s="271">
        <v>5.8</v>
      </c>
      <c r="E7" s="272" t="s">
        <v>324</v>
      </c>
      <c r="F7" s="203"/>
    </row>
    <row r="9" spans="2:18" ht="52.5" customHeight="1" x14ac:dyDescent="0.25">
      <c r="B9" s="744" t="s">
        <v>392</v>
      </c>
      <c r="C9" s="744" t="s">
        <v>393</v>
      </c>
      <c r="D9" s="744" t="s">
        <v>2</v>
      </c>
      <c r="E9" s="744" t="s">
        <v>38</v>
      </c>
      <c r="G9" s="182" t="s">
        <v>394</v>
      </c>
      <c r="H9" s="182" t="s">
        <v>394</v>
      </c>
      <c r="I9" s="182" t="s">
        <v>394</v>
      </c>
      <c r="J9" s="182" t="s">
        <v>394</v>
      </c>
      <c r="K9" s="182" t="s">
        <v>394</v>
      </c>
      <c r="L9" s="182" t="s">
        <v>394</v>
      </c>
      <c r="M9" s="182" t="s">
        <v>394</v>
      </c>
      <c r="N9" s="182" t="s">
        <v>394</v>
      </c>
      <c r="O9" s="182" t="s">
        <v>394</v>
      </c>
      <c r="P9" s="182" t="s">
        <v>394</v>
      </c>
      <c r="Q9" s="182" t="s">
        <v>394</v>
      </c>
    </row>
    <row r="10" spans="2:18" ht="74.25" customHeight="1" x14ac:dyDescent="0.25">
      <c r="B10" s="745"/>
      <c r="C10" s="745"/>
      <c r="D10" s="745"/>
      <c r="E10" s="745"/>
      <c r="F10" s="174"/>
      <c r="G10" s="175">
        <v>1</v>
      </c>
      <c r="H10" s="175" t="s">
        <v>405</v>
      </c>
      <c r="I10" s="175" t="s">
        <v>419</v>
      </c>
      <c r="J10" s="175" t="s">
        <v>101</v>
      </c>
      <c r="K10" s="175" t="s">
        <v>102</v>
      </c>
      <c r="L10" s="175" t="s">
        <v>107</v>
      </c>
      <c r="M10" s="175" t="s">
        <v>108</v>
      </c>
      <c r="N10" s="175" t="s">
        <v>109</v>
      </c>
      <c r="O10" s="175" t="s">
        <v>110</v>
      </c>
      <c r="P10" s="175">
        <v>13</v>
      </c>
      <c r="Q10" s="276" t="s">
        <v>453</v>
      </c>
    </row>
    <row r="11" spans="2:18" x14ac:dyDescent="0.25">
      <c r="B11" s="176"/>
      <c r="C11" s="176"/>
      <c r="D11" s="177"/>
      <c r="E11" s="180"/>
      <c r="F11" s="19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</row>
    <row r="12" spans="2:18" x14ac:dyDescent="0.25">
      <c r="B12" s="176"/>
      <c r="C12" s="179" t="s">
        <v>395</v>
      </c>
      <c r="D12" s="177"/>
      <c r="E12" s="180"/>
      <c r="F12" s="19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2:18" x14ac:dyDescent="0.25">
      <c r="B13" s="176"/>
      <c r="C13" s="179"/>
      <c r="D13" s="177"/>
      <c r="E13" s="180"/>
      <c r="F13" s="19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</row>
    <row r="14" spans="2:18" ht="24.75" customHeight="1" x14ac:dyDescent="0.25">
      <c r="B14" s="176"/>
      <c r="C14" s="206" t="s">
        <v>402</v>
      </c>
      <c r="D14" s="177" t="s">
        <v>328</v>
      </c>
      <c r="E14" s="181">
        <v>103.44</v>
      </c>
      <c r="F14" s="190"/>
      <c r="G14" s="277" t="s">
        <v>527</v>
      </c>
      <c r="H14" s="180"/>
      <c r="I14" s="180"/>
      <c r="J14" s="181"/>
      <c r="K14" s="181"/>
      <c r="L14" s="181"/>
      <c r="M14" s="180"/>
      <c r="N14" s="180"/>
      <c r="O14" s="180"/>
      <c r="P14" s="180"/>
      <c r="Q14" s="180"/>
    </row>
    <row r="15" spans="2:18" ht="21" customHeight="1" x14ac:dyDescent="0.25">
      <c r="B15" s="176"/>
      <c r="C15" s="176" t="s">
        <v>403</v>
      </c>
      <c r="D15" s="178" t="s">
        <v>328</v>
      </c>
      <c r="E15" s="181">
        <f>SUM(G15:Q15)</f>
        <v>257.76</v>
      </c>
      <c r="G15" s="176">
        <v>34.9</v>
      </c>
      <c r="H15" s="176">
        <v>76.430000000000007</v>
      </c>
      <c r="I15" s="176">
        <v>37.32</v>
      </c>
      <c r="J15" s="180">
        <v>26.76</v>
      </c>
      <c r="K15" s="180">
        <v>25.67</v>
      </c>
      <c r="L15" s="180">
        <v>11.38</v>
      </c>
      <c r="M15" s="180">
        <v>3.45</v>
      </c>
      <c r="N15" s="180">
        <v>5.4</v>
      </c>
      <c r="O15" s="180"/>
      <c r="P15" s="180">
        <v>36.450000000000003</v>
      </c>
      <c r="Q15" s="180"/>
    </row>
    <row r="16" spans="2:18" ht="56.25" customHeight="1" x14ac:dyDescent="0.25">
      <c r="B16" s="176"/>
      <c r="C16" s="194" t="s">
        <v>418</v>
      </c>
      <c r="D16" s="183" t="s">
        <v>328</v>
      </c>
      <c r="E16" s="181">
        <f>SUM(G16:Q16)</f>
        <v>2.8759999999999999</v>
      </c>
      <c r="F16" s="184"/>
      <c r="G16" s="181"/>
      <c r="H16" s="181">
        <v>2.8759999999999999</v>
      </c>
      <c r="I16" s="181"/>
      <c r="J16" s="181"/>
      <c r="K16" s="181"/>
      <c r="L16" s="181"/>
      <c r="M16" s="180"/>
      <c r="N16" s="180"/>
      <c r="O16" s="180"/>
      <c r="P16" s="180"/>
      <c r="Q16" s="180"/>
    </row>
    <row r="17" spans="2:17" ht="21.75" customHeight="1" x14ac:dyDescent="0.25">
      <c r="B17" s="176"/>
      <c r="C17" s="194" t="s">
        <v>454</v>
      </c>
      <c r="D17" s="183" t="s">
        <v>328</v>
      </c>
      <c r="E17" s="181">
        <f>SUM(G17:Q17)</f>
        <v>106.91</v>
      </c>
      <c r="F17" s="184"/>
      <c r="G17" s="181"/>
      <c r="H17" s="181"/>
      <c r="I17" s="181"/>
      <c r="J17" s="181"/>
      <c r="K17" s="181"/>
      <c r="L17" s="181"/>
      <c r="M17" s="180"/>
      <c r="N17" s="180"/>
      <c r="O17" s="180"/>
      <c r="P17" s="180"/>
      <c r="Q17" s="180">
        <v>106.91</v>
      </c>
    </row>
    <row r="18" spans="2:17" ht="33.75" customHeight="1" x14ac:dyDescent="0.25">
      <c r="B18" s="176"/>
      <c r="C18" s="195" t="s">
        <v>525</v>
      </c>
      <c r="D18" s="177" t="s">
        <v>328</v>
      </c>
      <c r="E18" s="181">
        <f>SUM(G18:Q18)</f>
        <v>107.46000000000001</v>
      </c>
      <c r="F18" s="190"/>
      <c r="G18" s="180"/>
      <c r="H18" s="180"/>
      <c r="I18" s="180"/>
      <c r="J18" s="180">
        <v>58.04</v>
      </c>
      <c r="K18" s="180">
        <v>49.42</v>
      </c>
      <c r="L18" s="180"/>
      <c r="M18" s="180"/>
      <c r="N18" s="180"/>
      <c r="O18" s="180"/>
      <c r="P18" s="180"/>
      <c r="Q18" s="180"/>
    </row>
    <row r="19" spans="2:17" ht="39" customHeight="1" x14ac:dyDescent="0.25">
      <c r="B19" s="176"/>
      <c r="C19" s="195" t="s">
        <v>838</v>
      </c>
      <c r="D19" s="177" t="s">
        <v>328</v>
      </c>
      <c r="E19" s="181">
        <v>15.42</v>
      </c>
      <c r="F19" s="19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</row>
    <row r="20" spans="2:17" ht="15.75" x14ac:dyDescent="0.25">
      <c r="B20" s="176"/>
      <c r="C20" s="179"/>
      <c r="D20" s="177"/>
      <c r="E20" s="181"/>
      <c r="F20" s="19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</row>
    <row r="21" spans="2:17" ht="15.75" x14ac:dyDescent="0.25">
      <c r="B21" s="176"/>
      <c r="C21" s="176"/>
      <c r="D21" s="177"/>
      <c r="E21" s="181"/>
      <c r="F21" s="19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</row>
    <row r="22" spans="2:17" ht="15.75" x14ac:dyDescent="0.25">
      <c r="B22" s="176"/>
      <c r="C22" s="179" t="s">
        <v>396</v>
      </c>
      <c r="D22" s="177"/>
      <c r="E22" s="181"/>
      <c r="F22" s="19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</row>
    <row r="23" spans="2:17" ht="15.75" x14ac:dyDescent="0.25">
      <c r="B23" s="176"/>
      <c r="C23" s="179"/>
      <c r="D23" s="177"/>
      <c r="E23" s="181"/>
      <c r="F23" s="202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</row>
    <row r="24" spans="2:17" ht="31.5" x14ac:dyDescent="0.25">
      <c r="B24" s="176"/>
      <c r="C24" s="194" t="s">
        <v>406</v>
      </c>
      <c r="D24" s="183" t="s">
        <v>328</v>
      </c>
      <c r="E24" s="181">
        <f>SUM(G24:Q24)</f>
        <v>43.36</v>
      </c>
      <c r="F24" s="189"/>
      <c r="G24" s="181"/>
      <c r="H24" s="181">
        <v>17.440000000000001</v>
      </c>
      <c r="I24" s="181">
        <v>25.92</v>
      </c>
      <c r="J24" s="181"/>
      <c r="K24" s="181"/>
      <c r="L24" s="181"/>
      <c r="M24" s="180"/>
      <c r="N24" s="180"/>
      <c r="O24" s="180"/>
      <c r="P24" s="180"/>
      <c r="Q24" s="180"/>
    </row>
    <row r="25" spans="2:17" ht="31.5" x14ac:dyDescent="0.25">
      <c r="B25" s="176"/>
      <c r="C25" s="194" t="s">
        <v>440</v>
      </c>
      <c r="D25" s="183" t="s">
        <v>328</v>
      </c>
      <c r="E25" s="181">
        <f>SUM(G25:Q25)</f>
        <v>31.96</v>
      </c>
      <c r="F25" s="189"/>
      <c r="G25" s="181"/>
      <c r="H25" s="181"/>
      <c r="I25" s="181"/>
      <c r="J25" s="181">
        <v>17.36</v>
      </c>
      <c r="K25" s="181">
        <v>14.6</v>
      </c>
      <c r="L25" s="181"/>
      <c r="M25" s="180"/>
      <c r="N25" s="180"/>
      <c r="O25" s="180"/>
      <c r="P25" s="180"/>
      <c r="Q25" s="180"/>
    </row>
    <row r="26" spans="2:17" ht="31.5" x14ac:dyDescent="0.25">
      <c r="B26" s="176"/>
      <c r="C26" s="194" t="s">
        <v>460</v>
      </c>
      <c r="D26" s="183" t="s">
        <v>328</v>
      </c>
      <c r="E26" s="181">
        <f>SUM(G26:Q26)</f>
        <v>1.202</v>
      </c>
      <c r="F26" s="189"/>
      <c r="G26" s="181"/>
      <c r="H26" s="181">
        <v>1.202</v>
      </c>
      <c r="I26" s="181"/>
      <c r="J26" s="181"/>
      <c r="K26" s="181"/>
      <c r="L26" s="181"/>
      <c r="M26" s="180"/>
      <c r="N26" s="180"/>
      <c r="O26" s="180"/>
      <c r="P26" s="180"/>
      <c r="Q26" s="180"/>
    </row>
    <row r="27" spans="2:17" ht="30" x14ac:dyDescent="0.25">
      <c r="B27" s="176"/>
      <c r="C27" s="195" t="s">
        <v>449</v>
      </c>
      <c r="D27" s="177" t="s">
        <v>328</v>
      </c>
      <c r="E27" s="180">
        <f>SUM(G27:Q27)</f>
        <v>1.8240000000000001</v>
      </c>
      <c r="F27" s="190"/>
      <c r="G27" s="180"/>
      <c r="H27" s="180"/>
      <c r="I27" s="180"/>
      <c r="J27" s="180"/>
      <c r="K27" s="180"/>
      <c r="L27" s="180">
        <v>1.8240000000000001</v>
      </c>
      <c r="M27" s="180"/>
      <c r="N27" s="180"/>
      <c r="O27" s="180"/>
      <c r="P27" s="180"/>
      <c r="Q27" s="180"/>
    </row>
    <row r="28" spans="2:17" ht="15.75" x14ac:dyDescent="0.25">
      <c r="B28" s="176"/>
      <c r="C28" s="179"/>
      <c r="D28" s="177"/>
      <c r="E28" s="181"/>
      <c r="F28" s="19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</row>
    <row r="29" spans="2:17" ht="15.75" x14ac:dyDescent="0.25">
      <c r="B29" s="176"/>
      <c r="C29" s="179"/>
      <c r="D29" s="177"/>
      <c r="E29" s="181"/>
      <c r="F29" s="19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</row>
    <row r="30" spans="2:17" ht="15.75" x14ac:dyDescent="0.25">
      <c r="B30" s="176"/>
      <c r="C30" s="179"/>
      <c r="D30" s="177"/>
      <c r="E30" s="181"/>
      <c r="F30" s="19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</row>
    <row r="31" spans="2:17" ht="15.75" x14ac:dyDescent="0.25">
      <c r="B31" s="176"/>
      <c r="C31" s="197" t="s">
        <v>455</v>
      </c>
      <c r="D31" s="177"/>
      <c r="E31" s="181"/>
      <c r="F31" s="19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</row>
    <row r="32" spans="2:17" ht="15.75" x14ac:dyDescent="0.25">
      <c r="B32" s="176"/>
      <c r="C32" s="176" t="s">
        <v>404</v>
      </c>
      <c r="D32" s="177" t="s">
        <v>328</v>
      </c>
      <c r="E32" s="181">
        <f t="shared" ref="E32:E37" si="0">SUM(G32:Q32)</f>
        <v>2.94</v>
      </c>
      <c r="F32" s="190"/>
      <c r="G32" s="180">
        <v>2.94</v>
      </c>
      <c r="H32" s="180"/>
      <c r="I32" s="180" t="s">
        <v>407</v>
      </c>
      <c r="J32" s="180"/>
      <c r="K32" s="180"/>
      <c r="L32" s="180"/>
      <c r="M32" s="180"/>
      <c r="N32" s="180"/>
      <c r="O32" s="180"/>
      <c r="P32" s="180"/>
      <c r="Q32" s="180"/>
    </row>
    <row r="33" spans="2:17" ht="15.75" x14ac:dyDescent="0.25">
      <c r="B33" s="176"/>
      <c r="C33" s="185" t="s">
        <v>408</v>
      </c>
      <c r="D33" s="186" t="s">
        <v>328</v>
      </c>
      <c r="E33" s="181">
        <f t="shared" si="0"/>
        <v>8.4</v>
      </c>
      <c r="F33" s="187"/>
      <c r="G33" s="204"/>
      <c r="H33" s="204">
        <v>2.1</v>
      </c>
      <c r="I33" s="204">
        <v>4.2</v>
      </c>
      <c r="J33" s="204"/>
      <c r="K33" s="204"/>
      <c r="L33" s="204"/>
      <c r="M33" s="180"/>
      <c r="N33" s="180"/>
      <c r="O33" s="180"/>
      <c r="P33" s="180">
        <v>2.1</v>
      </c>
      <c r="Q33" s="180"/>
    </row>
    <row r="34" spans="2:17" ht="15.75" x14ac:dyDescent="0.25">
      <c r="B34" s="176"/>
      <c r="C34" s="185" t="s">
        <v>434</v>
      </c>
      <c r="D34" s="186" t="s">
        <v>328</v>
      </c>
      <c r="E34" s="181">
        <f t="shared" si="0"/>
        <v>8.4</v>
      </c>
      <c r="F34" s="187"/>
      <c r="G34" s="204"/>
      <c r="H34" s="204"/>
      <c r="I34" s="204"/>
      <c r="J34" s="204">
        <v>3.36</v>
      </c>
      <c r="K34" s="204">
        <v>3.36</v>
      </c>
      <c r="L34" s="204">
        <v>1.68</v>
      </c>
      <c r="M34" s="180"/>
      <c r="N34" s="180"/>
      <c r="O34" s="180"/>
      <c r="P34" s="180"/>
      <c r="Q34" s="180"/>
    </row>
    <row r="35" spans="2:17" ht="15.75" x14ac:dyDescent="0.25">
      <c r="B35" s="176"/>
      <c r="C35" s="185" t="s">
        <v>451</v>
      </c>
      <c r="D35" s="186" t="s">
        <v>328</v>
      </c>
      <c r="E35" s="181">
        <f t="shared" si="0"/>
        <v>1.47</v>
      </c>
      <c r="F35" s="187"/>
      <c r="G35" s="204"/>
      <c r="H35" s="204"/>
      <c r="I35" s="204"/>
      <c r="J35" s="204"/>
      <c r="K35" s="204"/>
      <c r="L35" s="204"/>
      <c r="M35" s="180"/>
      <c r="N35" s="180">
        <v>1.47</v>
      </c>
      <c r="O35" s="180"/>
      <c r="P35" s="180"/>
      <c r="Q35" s="180"/>
    </row>
    <row r="36" spans="2:17" ht="15.75" x14ac:dyDescent="0.25">
      <c r="B36" s="176"/>
      <c r="C36" s="185" t="s">
        <v>435</v>
      </c>
      <c r="D36" s="186" t="s">
        <v>328</v>
      </c>
      <c r="E36" s="181">
        <f t="shared" si="0"/>
        <v>1.5660000000000001</v>
      </c>
      <c r="F36" s="187"/>
      <c r="G36" s="204"/>
      <c r="H36" s="204"/>
      <c r="I36" s="204"/>
      <c r="J36" s="204">
        <v>1.5660000000000001</v>
      </c>
      <c r="K36" s="204"/>
      <c r="L36" s="204"/>
      <c r="M36" s="180"/>
      <c r="N36" s="180"/>
      <c r="O36" s="180"/>
      <c r="P36" s="180"/>
      <c r="Q36" s="180"/>
    </row>
    <row r="37" spans="2:17" ht="15.75" x14ac:dyDescent="0.25">
      <c r="B37" s="176"/>
      <c r="C37" s="185" t="s">
        <v>436</v>
      </c>
      <c r="D37" s="186" t="s">
        <v>328</v>
      </c>
      <c r="E37" s="181">
        <f t="shared" si="0"/>
        <v>4.8949999999999996</v>
      </c>
      <c r="F37" s="187"/>
      <c r="G37" s="204"/>
      <c r="H37" s="204"/>
      <c r="I37" s="204"/>
      <c r="J37" s="204">
        <v>4.8949999999999996</v>
      </c>
      <c r="K37" s="204"/>
      <c r="L37" s="204"/>
      <c r="M37" s="180"/>
      <c r="N37" s="180"/>
      <c r="O37" s="180"/>
      <c r="P37" s="180"/>
      <c r="Q37" s="180"/>
    </row>
    <row r="38" spans="2:17" ht="18.75" x14ac:dyDescent="0.3">
      <c r="B38" s="176"/>
      <c r="C38" s="207" t="s">
        <v>456</v>
      </c>
      <c r="D38" s="199" t="s">
        <v>328</v>
      </c>
      <c r="E38" s="198">
        <f>SUM(E32:E37)</f>
        <v>27.670999999999999</v>
      </c>
      <c r="F38" s="187"/>
      <c r="G38" s="204"/>
      <c r="H38" s="204"/>
      <c r="I38" s="204"/>
      <c r="J38" s="204"/>
      <c r="K38" s="204"/>
      <c r="L38" s="204"/>
      <c r="M38" s="180"/>
      <c r="N38" s="180"/>
      <c r="O38" s="180"/>
      <c r="P38" s="180"/>
      <c r="Q38" s="180"/>
    </row>
    <row r="39" spans="2:17" ht="15.75" x14ac:dyDescent="0.25">
      <c r="B39" s="176"/>
      <c r="C39" s="208" t="s">
        <v>457</v>
      </c>
      <c r="D39" s="186"/>
      <c r="E39" s="181"/>
      <c r="F39" s="187"/>
      <c r="G39" s="204"/>
      <c r="H39" s="204"/>
      <c r="I39" s="204"/>
      <c r="J39" s="204"/>
      <c r="K39" s="204"/>
      <c r="L39" s="204"/>
      <c r="M39" s="180"/>
      <c r="N39" s="180"/>
      <c r="O39" s="180"/>
      <c r="P39" s="180"/>
      <c r="Q39" s="180"/>
    </row>
    <row r="40" spans="2:17" ht="15.75" x14ac:dyDescent="0.25">
      <c r="B40" s="176"/>
      <c r="C40" s="185" t="s">
        <v>409</v>
      </c>
      <c r="D40" s="186" t="s">
        <v>328</v>
      </c>
      <c r="E40" s="181">
        <f>SUM(G40:Q40)</f>
        <v>1.1080000000000001</v>
      </c>
      <c r="F40" s="191"/>
      <c r="G40" s="204"/>
      <c r="H40" s="204">
        <v>1.1080000000000001</v>
      </c>
      <c r="I40" s="204"/>
      <c r="J40" s="204"/>
      <c r="K40" s="204"/>
      <c r="L40" s="204"/>
      <c r="M40" s="180"/>
      <c r="N40" s="180"/>
      <c r="O40" s="180"/>
      <c r="P40" s="180"/>
      <c r="Q40" s="180"/>
    </row>
    <row r="41" spans="2:17" ht="15.75" x14ac:dyDescent="0.25">
      <c r="B41" s="176"/>
      <c r="C41" s="185" t="s">
        <v>424</v>
      </c>
      <c r="D41" s="186" t="s">
        <v>328</v>
      </c>
      <c r="E41" s="181">
        <f>SUM(G41:Q41)</f>
        <v>0.60799999999999998</v>
      </c>
      <c r="F41" s="191"/>
      <c r="G41" s="204"/>
      <c r="H41" s="204"/>
      <c r="I41" s="204">
        <v>0.60799999999999998</v>
      </c>
      <c r="J41" s="204"/>
      <c r="K41" s="204"/>
      <c r="L41" s="204"/>
      <c r="M41" s="180"/>
      <c r="N41" s="180"/>
      <c r="O41" s="180"/>
      <c r="P41" s="180"/>
      <c r="Q41" s="180"/>
    </row>
    <row r="42" spans="2:17" ht="15.75" x14ac:dyDescent="0.25">
      <c r="B42" s="176"/>
      <c r="C42" s="200" t="s">
        <v>438</v>
      </c>
      <c r="D42" s="186" t="s">
        <v>328</v>
      </c>
      <c r="E42" s="181">
        <f>SUM(G42:Q42)</f>
        <v>1.216</v>
      </c>
      <c r="F42" s="191"/>
      <c r="G42" s="204"/>
      <c r="H42" s="204"/>
      <c r="I42" s="204"/>
      <c r="J42" s="204">
        <v>0.60799999999999998</v>
      </c>
      <c r="K42" s="204">
        <v>0.60799999999999998</v>
      </c>
      <c r="L42" s="204"/>
      <c r="M42" s="180"/>
      <c r="N42" s="180"/>
      <c r="O42" s="180"/>
      <c r="P42" s="180"/>
      <c r="Q42" s="180"/>
    </row>
    <row r="43" spans="2:17" ht="15.75" x14ac:dyDescent="0.25">
      <c r="B43" s="176"/>
      <c r="C43" s="200" t="s">
        <v>437</v>
      </c>
      <c r="D43" s="186" t="s">
        <v>328</v>
      </c>
      <c r="E43" s="181">
        <f>SUM(G43:Q43)</f>
        <v>0.40699999999999997</v>
      </c>
      <c r="F43" s="191"/>
      <c r="G43" s="204"/>
      <c r="H43" s="204"/>
      <c r="I43" s="204"/>
      <c r="J43" s="204">
        <v>0.40699999999999997</v>
      </c>
      <c r="K43" s="204"/>
      <c r="L43" s="204"/>
      <c r="M43" s="180"/>
      <c r="N43" s="180"/>
      <c r="O43" s="180"/>
      <c r="P43" s="180"/>
      <c r="Q43" s="180"/>
    </row>
    <row r="44" spans="2:17" ht="15.75" x14ac:dyDescent="0.25">
      <c r="B44" s="176"/>
      <c r="C44" s="176" t="s">
        <v>410</v>
      </c>
      <c r="D44" s="177" t="s">
        <v>328</v>
      </c>
      <c r="E44" s="181">
        <f>SUM(G44:Q44)</f>
        <v>3.12</v>
      </c>
      <c r="F44" s="190"/>
      <c r="G44" s="180">
        <v>3.12</v>
      </c>
      <c r="H44" s="180"/>
      <c r="I44" s="180"/>
      <c r="J44" s="180"/>
      <c r="K44" s="180"/>
      <c r="L44" s="180"/>
      <c r="M44" s="180"/>
      <c r="N44" s="180"/>
      <c r="O44" s="180"/>
      <c r="P44" s="180"/>
      <c r="Q44" s="180"/>
    </row>
    <row r="45" spans="2:17" ht="18.75" x14ac:dyDescent="0.3">
      <c r="B45" s="176"/>
      <c r="C45" s="207" t="s">
        <v>456</v>
      </c>
      <c r="D45" s="199" t="s">
        <v>328</v>
      </c>
      <c r="E45" s="198">
        <f>SUM(E40:E44)</f>
        <v>6.4590000000000005</v>
      </c>
      <c r="F45" s="19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</row>
    <row r="46" spans="2:17" ht="15.75" x14ac:dyDescent="0.25">
      <c r="B46" s="176"/>
      <c r="C46" s="197" t="s">
        <v>458</v>
      </c>
      <c r="D46" s="177"/>
      <c r="E46" s="181"/>
      <c r="F46" s="19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</row>
    <row r="47" spans="2:17" ht="15.75" x14ac:dyDescent="0.25">
      <c r="B47" s="176"/>
      <c r="C47" s="176" t="s">
        <v>447</v>
      </c>
      <c r="D47" s="177" t="s">
        <v>328</v>
      </c>
      <c r="E47" s="181">
        <f>SUM(G47:Q47)</f>
        <v>0.77</v>
      </c>
      <c r="F47" s="190"/>
      <c r="G47" s="180"/>
      <c r="H47" s="180"/>
      <c r="I47" s="180"/>
      <c r="J47" s="180">
        <v>0.38500000000000001</v>
      </c>
      <c r="K47" s="180">
        <v>0.38500000000000001</v>
      </c>
      <c r="L47" s="180"/>
      <c r="M47" s="180"/>
      <c r="N47" s="180"/>
      <c r="O47" s="180"/>
      <c r="P47" s="180"/>
      <c r="Q47" s="180"/>
    </row>
    <row r="48" spans="2:17" ht="15.75" x14ac:dyDescent="0.25">
      <c r="B48" s="176"/>
      <c r="C48" s="176" t="s">
        <v>446</v>
      </c>
      <c r="D48" s="177" t="s">
        <v>328</v>
      </c>
      <c r="E48" s="181">
        <f>SUM(G48:Q48)</f>
        <v>0.96299999999999997</v>
      </c>
      <c r="F48" s="190"/>
      <c r="G48" s="180"/>
      <c r="H48" s="180"/>
      <c r="I48" s="180"/>
      <c r="J48" s="180"/>
      <c r="K48" s="180"/>
      <c r="L48" s="180">
        <v>0.96299999999999997</v>
      </c>
      <c r="M48" s="180"/>
      <c r="N48" s="180"/>
      <c r="O48" s="180"/>
      <c r="P48" s="180"/>
      <c r="Q48" s="180"/>
    </row>
    <row r="49" spans="2:17" ht="18.75" x14ac:dyDescent="0.3">
      <c r="B49" s="176"/>
      <c r="C49" s="207" t="s">
        <v>456</v>
      </c>
      <c r="D49" s="199" t="s">
        <v>328</v>
      </c>
      <c r="E49" s="198">
        <f>SUM(E47:E48)</f>
        <v>1.7330000000000001</v>
      </c>
      <c r="F49" s="19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</row>
    <row r="50" spans="2:17" ht="15.75" x14ac:dyDescent="0.25">
      <c r="B50" s="176"/>
      <c r="C50" s="197" t="s">
        <v>459</v>
      </c>
      <c r="D50" s="177"/>
      <c r="E50" s="181"/>
      <c r="F50" s="19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</row>
    <row r="51" spans="2:17" ht="15.75" x14ac:dyDescent="0.25">
      <c r="B51" s="176"/>
      <c r="C51" s="176" t="s">
        <v>417</v>
      </c>
      <c r="D51" s="177" t="s">
        <v>345</v>
      </c>
      <c r="E51" s="181">
        <f>SUM(G51:Q51)</f>
        <v>4</v>
      </c>
      <c r="F51" s="190"/>
      <c r="G51" s="180">
        <v>4</v>
      </c>
      <c r="H51" s="180"/>
      <c r="I51" s="180"/>
      <c r="J51" s="180"/>
      <c r="K51" s="180"/>
      <c r="L51" s="180"/>
      <c r="M51" s="180"/>
      <c r="N51" s="180"/>
      <c r="O51" s="180"/>
      <c r="P51" s="180"/>
      <c r="Q51" s="180"/>
    </row>
    <row r="52" spans="2:17" ht="15.75" x14ac:dyDescent="0.25">
      <c r="B52" s="176"/>
      <c r="C52" s="176" t="s">
        <v>439</v>
      </c>
      <c r="D52" s="177" t="s">
        <v>345</v>
      </c>
      <c r="E52" s="181">
        <f>SUM(G52:Q52)</f>
        <v>0.59</v>
      </c>
      <c r="F52" s="190"/>
      <c r="G52" s="180"/>
      <c r="H52" s="180"/>
      <c r="I52" s="180"/>
      <c r="J52" s="180">
        <v>0.59</v>
      </c>
      <c r="K52" s="180"/>
      <c r="L52" s="180"/>
      <c r="M52" s="180"/>
      <c r="N52" s="180"/>
      <c r="O52" s="180"/>
      <c r="P52" s="180"/>
      <c r="Q52" s="180"/>
    </row>
    <row r="53" spans="2:17" ht="18.75" x14ac:dyDescent="0.3">
      <c r="B53" s="176"/>
      <c r="C53" s="207" t="s">
        <v>456</v>
      </c>
      <c r="D53" s="199" t="s">
        <v>345</v>
      </c>
      <c r="E53" s="198">
        <f>SUM(E51:E52)</f>
        <v>4.59</v>
      </c>
      <c r="F53" s="19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</row>
    <row r="54" spans="2:17" ht="36" customHeight="1" x14ac:dyDescent="0.3">
      <c r="B54" s="176"/>
      <c r="C54" s="209" t="s">
        <v>398</v>
      </c>
      <c r="D54" s="199"/>
      <c r="E54" s="198"/>
      <c r="F54" s="19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</row>
    <row r="55" spans="2:17" ht="15.75" x14ac:dyDescent="0.25">
      <c r="B55" s="176"/>
      <c r="C55" s="176" t="s">
        <v>427</v>
      </c>
      <c r="D55" s="177" t="s">
        <v>397</v>
      </c>
      <c r="E55" s="181">
        <f t="shared" ref="E55:E61" si="1">SUM(G55:Q55)</f>
        <v>8</v>
      </c>
      <c r="F55" s="190"/>
      <c r="G55" s="180"/>
      <c r="H55" s="180"/>
      <c r="I55" s="180"/>
      <c r="J55" s="180">
        <v>4</v>
      </c>
      <c r="K55" s="180">
        <v>4</v>
      </c>
      <c r="L55" s="180"/>
      <c r="M55" s="180"/>
      <c r="N55" s="180"/>
      <c r="O55" s="180"/>
      <c r="P55" s="180"/>
      <c r="Q55" s="180"/>
    </row>
    <row r="56" spans="2:17" x14ac:dyDescent="0.25">
      <c r="B56" s="176"/>
      <c r="C56" s="176" t="s">
        <v>428</v>
      </c>
      <c r="D56" s="177" t="s">
        <v>397</v>
      </c>
      <c r="E56" s="180">
        <f t="shared" si="1"/>
        <v>1</v>
      </c>
      <c r="F56" s="193"/>
      <c r="G56" s="180"/>
      <c r="H56" s="180"/>
      <c r="I56" s="180"/>
      <c r="J56" s="180">
        <v>1</v>
      </c>
      <c r="K56" s="180"/>
      <c r="L56" s="180"/>
      <c r="M56" s="180"/>
      <c r="N56" s="180"/>
      <c r="O56" s="180"/>
      <c r="P56" s="180"/>
      <c r="Q56" s="180"/>
    </row>
    <row r="57" spans="2:17" x14ac:dyDescent="0.25">
      <c r="B57" s="176"/>
      <c r="C57" s="176" t="s">
        <v>429</v>
      </c>
      <c r="D57" s="177" t="s">
        <v>397</v>
      </c>
      <c r="E57" s="180">
        <f t="shared" si="1"/>
        <v>3</v>
      </c>
      <c r="F57" s="193"/>
      <c r="G57" s="180"/>
      <c r="H57" s="180"/>
      <c r="I57" s="180"/>
      <c r="J57" s="180">
        <v>3</v>
      </c>
      <c r="K57" s="180"/>
      <c r="L57" s="180"/>
      <c r="M57" s="180"/>
      <c r="N57" s="180"/>
      <c r="O57" s="180"/>
      <c r="P57" s="180"/>
      <c r="Q57" s="180"/>
    </row>
    <row r="58" spans="2:17" x14ac:dyDescent="0.25">
      <c r="B58" s="176"/>
      <c r="C58" s="176" t="s">
        <v>430</v>
      </c>
      <c r="D58" s="177" t="s">
        <v>397</v>
      </c>
      <c r="E58" s="180">
        <f t="shared" si="1"/>
        <v>2</v>
      </c>
      <c r="F58" s="190"/>
      <c r="G58" s="180"/>
      <c r="H58" s="180"/>
      <c r="I58" s="180"/>
      <c r="J58" s="180">
        <v>1</v>
      </c>
      <c r="K58" s="180">
        <v>1</v>
      </c>
      <c r="L58" s="180"/>
      <c r="M58" s="180"/>
      <c r="N58" s="180"/>
      <c r="O58" s="180"/>
      <c r="P58" s="180"/>
      <c r="Q58" s="180"/>
    </row>
    <row r="59" spans="2:17" x14ac:dyDescent="0.25">
      <c r="B59" s="176"/>
      <c r="C59" s="176" t="s">
        <v>433</v>
      </c>
      <c r="D59" s="177" t="s">
        <v>397</v>
      </c>
      <c r="E59" s="180">
        <f t="shared" si="1"/>
        <v>4</v>
      </c>
      <c r="F59" s="190"/>
      <c r="G59" s="180"/>
      <c r="H59" s="180"/>
      <c r="I59" s="180"/>
      <c r="J59" s="180">
        <v>1</v>
      </c>
      <c r="K59" s="180">
        <v>3</v>
      </c>
      <c r="L59" s="180"/>
      <c r="M59" s="180"/>
      <c r="N59" s="180"/>
      <c r="O59" s="180"/>
      <c r="P59" s="180"/>
      <c r="Q59" s="180"/>
    </row>
    <row r="60" spans="2:17" x14ac:dyDescent="0.25">
      <c r="B60" s="176"/>
      <c r="C60" s="176" t="s">
        <v>443</v>
      </c>
      <c r="D60" s="177" t="s">
        <v>397</v>
      </c>
      <c r="E60" s="180">
        <f t="shared" si="1"/>
        <v>1</v>
      </c>
      <c r="F60" s="190"/>
      <c r="G60" s="180"/>
      <c r="H60" s="180"/>
      <c r="I60" s="180"/>
      <c r="J60" s="180"/>
      <c r="K60" s="180">
        <v>1</v>
      </c>
      <c r="L60" s="180"/>
      <c r="M60" s="180"/>
      <c r="N60" s="180"/>
      <c r="O60" s="180"/>
      <c r="P60" s="180"/>
      <c r="Q60" s="180"/>
    </row>
    <row r="61" spans="2:17" x14ac:dyDescent="0.25">
      <c r="B61" s="176"/>
      <c r="C61" s="176" t="s">
        <v>448</v>
      </c>
      <c r="D61" s="177" t="s">
        <v>397</v>
      </c>
      <c r="E61" s="180">
        <f t="shared" si="1"/>
        <v>1</v>
      </c>
      <c r="F61" s="190"/>
      <c r="G61" s="180"/>
      <c r="H61" s="180"/>
      <c r="I61" s="180"/>
      <c r="J61" s="180"/>
      <c r="K61" s="180"/>
      <c r="L61" s="180">
        <v>1</v>
      </c>
      <c r="M61" s="180"/>
      <c r="N61" s="180"/>
      <c r="O61" s="180"/>
      <c r="P61" s="180"/>
      <c r="Q61" s="180"/>
    </row>
    <row r="62" spans="2:17" ht="15.75" customHeight="1" x14ac:dyDescent="0.3">
      <c r="B62" s="176"/>
      <c r="C62" s="207" t="s">
        <v>456</v>
      </c>
      <c r="D62" s="199" t="s">
        <v>397</v>
      </c>
      <c r="E62" s="198">
        <f>SUM(E55:E61)</f>
        <v>20</v>
      </c>
      <c r="F62" s="19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</row>
    <row r="63" spans="2:17" ht="43.5" customHeight="1" x14ac:dyDescent="0.3">
      <c r="B63" s="176"/>
      <c r="C63" s="209" t="s">
        <v>461</v>
      </c>
      <c r="D63" s="199"/>
      <c r="E63" s="198"/>
      <c r="F63" s="19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</row>
    <row r="64" spans="2:17" ht="15.75" x14ac:dyDescent="0.25">
      <c r="B64" s="176"/>
      <c r="C64" s="176" t="s">
        <v>425</v>
      </c>
      <c r="D64" s="177" t="s">
        <v>397</v>
      </c>
      <c r="E64" s="181">
        <f>SUM(G64:Q64)</f>
        <v>4</v>
      </c>
      <c r="F64" s="190"/>
      <c r="G64" s="180"/>
      <c r="H64" s="180"/>
      <c r="I64" s="180">
        <v>1</v>
      </c>
      <c r="J64" s="180">
        <v>1</v>
      </c>
      <c r="K64" s="180">
        <v>2</v>
      </c>
      <c r="L64" s="180"/>
      <c r="M64" s="180"/>
      <c r="N64" s="180"/>
      <c r="O64" s="180"/>
      <c r="P64" s="180"/>
      <c r="Q64" s="180"/>
    </row>
    <row r="65" spans="2:17" ht="15.75" x14ac:dyDescent="0.25">
      <c r="B65" s="176"/>
      <c r="C65" s="176" t="s">
        <v>426</v>
      </c>
      <c r="D65" s="177" t="s">
        <v>397</v>
      </c>
      <c r="E65" s="181">
        <f>SUM(G65:Q65)</f>
        <v>1</v>
      </c>
      <c r="F65" s="190"/>
      <c r="G65" s="180"/>
      <c r="H65" s="180"/>
      <c r="I65" s="180"/>
      <c r="J65" s="180">
        <v>1</v>
      </c>
      <c r="K65" s="180"/>
      <c r="L65" s="180"/>
      <c r="M65" s="180"/>
      <c r="N65" s="180"/>
      <c r="O65" s="180"/>
      <c r="P65" s="180"/>
      <c r="Q65" s="180"/>
    </row>
    <row r="66" spans="2:17" x14ac:dyDescent="0.25">
      <c r="B66" s="176"/>
      <c r="C66" s="176" t="s">
        <v>431</v>
      </c>
      <c r="D66" s="177" t="s">
        <v>397</v>
      </c>
      <c r="E66" s="180">
        <f>SUM(G66:Q66)</f>
        <v>2</v>
      </c>
      <c r="F66" s="190"/>
      <c r="G66" s="180"/>
      <c r="H66" s="180"/>
      <c r="I66" s="180"/>
      <c r="J66" s="180">
        <v>2</v>
      </c>
      <c r="K66" s="180"/>
      <c r="L66" s="180"/>
      <c r="M66" s="180"/>
      <c r="N66" s="180"/>
      <c r="O66" s="180"/>
      <c r="P66" s="180"/>
      <c r="Q66" s="180"/>
    </row>
    <row r="67" spans="2:17" x14ac:dyDescent="0.25">
      <c r="B67" s="176"/>
      <c r="C67" s="176" t="s">
        <v>432</v>
      </c>
      <c r="D67" s="177" t="s">
        <v>397</v>
      </c>
      <c r="E67" s="180">
        <f>SUM(G67:Q67)</f>
        <v>4</v>
      </c>
      <c r="F67" s="190"/>
      <c r="G67" s="180"/>
      <c r="H67" s="180"/>
      <c r="I67" s="180"/>
      <c r="J67" s="180">
        <v>1</v>
      </c>
      <c r="K67" s="180">
        <v>3</v>
      </c>
      <c r="L67" s="180"/>
      <c r="M67" s="180"/>
      <c r="N67" s="180"/>
      <c r="O67" s="180"/>
      <c r="P67" s="180"/>
      <c r="Q67" s="180"/>
    </row>
    <row r="68" spans="2:17" x14ac:dyDescent="0.25">
      <c r="B68" s="176"/>
      <c r="C68" s="176" t="s">
        <v>441</v>
      </c>
      <c r="D68" s="177" t="s">
        <v>397</v>
      </c>
      <c r="E68" s="180">
        <f>SUM(G68:Q68)</f>
        <v>4</v>
      </c>
      <c r="F68" s="190"/>
      <c r="G68" s="180"/>
      <c r="H68" s="180"/>
      <c r="I68" s="180"/>
      <c r="J68" s="180"/>
      <c r="K68" s="180">
        <v>4</v>
      </c>
      <c r="L68" s="180"/>
      <c r="M68" s="180"/>
      <c r="N68" s="180"/>
      <c r="O68" s="180"/>
      <c r="P68" s="180"/>
      <c r="Q68" s="180"/>
    </row>
    <row r="69" spans="2:17" ht="18.75" x14ac:dyDescent="0.3">
      <c r="B69" s="176"/>
      <c r="C69" s="207" t="s">
        <v>456</v>
      </c>
      <c r="D69" s="199" t="s">
        <v>397</v>
      </c>
      <c r="E69" s="198">
        <f>SUM(E64:E68)</f>
        <v>15</v>
      </c>
      <c r="F69" s="19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</row>
    <row r="70" spans="2:17" ht="32.25" customHeight="1" x14ac:dyDescent="0.3">
      <c r="B70" s="176"/>
      <c r="C70" s="209" t="s">
        <v>489</v>
      </c>
      <c r="D70" s="199"/>
      <c r="E70" s="198"/>
      <c r="F70" s="19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</row>
    <row r="71" spans="2:17" ht="15.75" x14ac:dyDescent="0.25">
      <c r="B71" s="176"/>
      <c r="C71" s="185" t="s">
        <v>411</v>
      </c>
      <c r="D71" s="186" t="s">
        <v>397</v>
      </c>
      <c r="E71" s="181">
        <f t="shared" ref="E71:E79" si="2">SUM(G71:Q71)</f>
        <v>20</v>
      </c>
      <c r="F71" s="191"/>
      <c r="G71" s="204"/>
      <c r="H71" s="204">
        <v>11</v>
      </c>
      <c r="I71" s="204">
        <v>5</v>
      </c>
      <c r="J71" s="204"/>
      <c r="K71" s="204"/>
      <c r="L71" s="204">
        <v>2</v>
      </c>
      <c r="M71" s="180"/>
      <c r="N71" s="180"/>
      <c r="O71" s="180"/>
      <c r="P71" s="180">
        <v>2</v>
      </c>
      <c r="Q71" s="180"/>
    </row>
    <row r="72" spans="2:17" ht="15.75" x14ac:dyDescent="0.25">
      <c r="B72" s="176"/>
      <c r="C72" s="185" t="s">
        <v>421</v>
      </c>
      <c r="D72" s="186" t="s">
        <v>397</v>
      </c>
      <c r="E72" s="181">
        <f t="shared" si="2"/>
        <v>3</v>
      </c>
      <c r="F72" s="187"/>
      <c r="G72" s="204"/>
      <c r="H72" s="204"/>
      <c r="I72" s="204">
        <v>2</v>
      </c>
      <c r="J72" s="204"/>
      <c r="K72" s="204"/>
      <c r="L72" s="204">
        <v>1</v>
      </c>
      <c r="M72" s="180"/>
      <c r="N72" s="180"/>
      <c r="O72" s="180"/>
      <c r="P72" s="180"/>
      <c r="Q72" s="180"/>
    </row>
    <row r="73" spans="2:17" ht="15.75" x14ac:dyDescent="0.25">
      <c r="B73" s="176"/>
      <c r="C73" s="185" t="s">
        <v>412</v>
      </c>
      <c r="D73" s="186" t="s">
        <v>397</v>
      </c>
      <c r="E73" s="181">
        <f t="shared" si="2"/>
        <v>1</v>
      </c>
      <c r="F73" s="187"/>
      <c r="G73" s="204"/>
      <c r="H73" s="204">
        <v>1</v>
      </c>
      <c r="I73" s="204"/>
      <c r="J73" s="204"/>
      <c r="K73" s="204"/>
      <c r="L73" s="204"/>
      <c r="M73" s="180"/>
      <c r="N73" s="180"/>
      <c r="O73" s="180"/>
      <c r="P73" s="180"/>
      <c r="Q73" s="180"/>
    </row>
    <row r="74" spans="2:17" ht="15.75" x14ac:dyDescent="0.25">
      <c r="B74" s="176"/>
      <c r="C74" s="185" t="s">
        <v>413</v>
      </c>
      <c r="D74" s="186" t="s">
        <v>397</v>
      </c>
      <c r="E74" s="181">
        <f t="shared" si="2"/>
        <v>1</v>
      </c>
      <c r="F74" s="187"/>
      <c r="G74" s="204"/>
      <c r="H74" s="204">
        <v>1</v>
      </c>
      <c r="I74" s="204"/>
      <c r="J74" s="204"/>
      <c r="K74" s="204"/>
      <c r="L74" s="204"/>
      <c r="M74" s="180"/>
      <c r="N74" s="180"/>
      <c r="O74" s="180"/>
      <c r="P74" s="180"/>
      <c r="Q74" s="180"/>
    </row>
    <row r="75" spans="2:17" ht="15.75" x14ac:dyDescent="0.25">
      <c r="B75" s="176"/>
      <c r="C75" s="185" t="s">
        <v>414</v>
      </c>
      <c r="D75" s="186" t="s">
        <v>397</v>
      </c>
      <c r="E75" s="181">
        <f t="shared" si="2"/>
        <v>1</v>
      </c>
      <c r="F75" s="187"/>
      <c r="G75" s="204"/>
      <c r="H75" s="204">
        <v>1</v>
      </c>
      <c r="I75" s="204"/>
      <c r="J75" s="204"/>
      <c r="K75" s="204"/>
      <c r="L75" s="204"/>
      <c r="M75" s="180"/>
      <c r="N75" s="180"/>
      <c r="O75" s="180"/>
      <c r="P75" s="180"/>
      <c r="Q75" s="180"/>
    </row>
    <row r="76" spans="2:17" ht="15.75" x14ac:dyDescent="0.25">
      <c r="B76" s="176"/>
      <c r="C76" s="188" t="s">
        <v>444</v>
      </c>
      <c r="D76" s="186" t="s">
        <v>397</v>
      </c>
      <c r="E76" s="181">
        <f t="shared" si="2"/>
        <v>16</v>
      </c>
      <c r="F76" s="192"/>
      <c r="G76" s="205"/>
      <c r="H76" s="205">
        <v>4</v>
      </c>
      <c r="I76" s="205">
        <v>4</v>
      </c>
      <c r="J76" s="205">
        <v>2</v>
      </c>
      <c r="K76" s="205">
        <v>2</v>
      </c>
      <c r="L76" s="205">
        <v>1</v>
      </c>
      <c r="M76" s="180">
        <v>1</v>
      </c>
      <c r="N76" s="180">
        <v>1</v>
      </c>
      <c r="O76" s="180"/>
      <c r="P76" s="180">
        <v>1</v>
      </c>
      <c r="Q76" s="180"/>
    </row>
    <row r="77" spans="2:17" ht="15.75" x14ac:dyDescent="0.25">
      <c r="B77" s="176"/>
      <c r="C77" s="188" t="s">
        <v>442</v>
      </c>
      <c r="D77" s="186" t="s">
        <v>397</v>
      </c>
      <c r="E77" s="181">
        <f t="shared" si="2"/>
        <v>1</v>
      </c>
      <c r="F77" s="196"/>
      <c r="G77" s="205"/>
      <c r="H77" s="205"/>
      <c r="I77" s="205"/>
      <c r="J77" s="205"/>
      <c r="K77" s="205">
        <v>1</v>
      </c>
      <c r="L77" s="205"/>
      <c r="M77" s="180"/>
      <c r="N77" s="180"/>
      <c r="O77" s="180"/>
      <c r="P77" s="180"/>
      <c r="Q77" s="180"/>
    </row>
    <row r="78" spans="2:17" ht="15.75" x14ac:dyDescent="0.25">
      <c r="B78" s="176"/>
      <c r="C78" s="188" t="s">
        <v>452</v>
      </c>
      <c r="D78" s="186" t="s">
        <v>397</v>
      </c>
      <c r="E78" s="181">
        <f t="shared" si="2"/>
        <v>1</v>
      </c>
      <c r="F78" s="196"/>
      <c r="G78" s="205"/>
      <c r="H78" s="205"/>
      <c r="I78" s="205"/>
      <c r="J78" s="205"/>
      <c r="K78" s="205"/>
      <c r="L78" s="205"/>
      <c r="M78" s="180"/>
      <c r="N78" s="180"/>
      <c r="O78" s="180"/>
      <c r="P78" s="180">
        <v>1</v>
      </c>
      <c r="Q78" s="180"/>
    </row>
    <row r="79" spans="2:17" ht="15.75" x14ac:dyDescent="0.25">
      <c r="B79" s="176"/>
      <c r="C79" s="185" t="s">
        <v>415</v>
      </c>
      <c r="D79" s="186" t="s">
        <v>397</v>
      </c>
      <c r="E79" s="181">
        <f t="shared" si="2"/>
        <v>7</v>
      </c>
      <c r="F79" s="191"/>
      <c r="G79" s="204"/>
      <c r="H79" s="204">
        <v>3</v>
      </c>
      <c r="I79" s="204">
        <v>4</v>
      </c>
      <c r="J79" s="204"/>
      <c r="K79" s="204"/>
      <c r="L79" s="204"/>
      <c r="M79" s="180"/>
      <c r="N79" s="180"/>
      <c r="O79" s="180"/>
      <c r="P79" s="180"/>
      <c r="Q79" s="180"/>
    </row>
    <row r="80" spans="2:17" ht="18.75" x14ac:dyDescent="0.3">
      <c r="B80" s="176"/>
      <c r="C80" s="207" t="s">
        <v>456</v>
      </c>
      <c r="D80" s="199" t="s">
        <v>397</v>
      </c>
      <c r="E80" s="213">
        <f>SUM(E71:E79)</f>
        <v>51</v>
      </c>
      <c r="F80" s="187"/>
      <c r="G80" s="204"/>
      <c r="H80" s="204"/>
      <c r="I80" s="204"/>
      <c r="J80" s="204"/>
      <c r="K80" s="204"/>
      <c r="L80" s="204"/>
      <c r="M80" s="180"/>
      <c r="N80" s="180"/>
      <c r="O80" s="180"/>
      <c r="P80" s="180"/>
      <c r="Q80" s="180"/>
    </row>
    <row r="81" spans="2:17" ht="23.25" customHeight="1" x14ac:dyDescent="0.25">
      <c r="B81" s="176"/>
      <c r="C81" s="208" t="s">
        <v>490</v>
      </c>
      <c r="D81" s="186"/>
      <c r="E81" s="181"/>
      <c r="F81" s="187"/>
      <c r="G81" s="204"/>
      <c r="H81" s="204"/>
      <c r="I81" s="204"/>
      <c r="J81" s="204"/>
      <c r="K81" s="204"/>
      <c r="L81" s="204"/>
      <c r="M81" s="180"/>
      <c r="N81" s="180"/>
      <c r="O81" s="180"/>
      <c r="P81" s="180"/>
      <c r="Q81" s="180"/>
    </row>
    <row r="82" spans="2:17" ht="15.75" x14ac:dyDescent="0.25">
      <c r="B82" s="176"/>
      <c r="C82" s="176" t="s">
        <v>450</v>
      </c>
      <c r="D82" s="177" t="s">
        <v>397</v>
      </c>
      <c r="E82" s="181">
        <f>SUM(G82:Q82)</f>
        <v>31</v>
      </c>
      <c r="F82" s="190"/>
      <c r="G82" s="180">
        <v>3</v>
      </c>
      <c r="H82" s="180">
        <v>10</v>
      </c>
      <c r="I82" s="180">
        <v>5</v>
      </c>
      <c r="J82" s="180">
        <v>4</v>
      </c>
      <c r="K82" s="180">
        <v>3</v>
      </c>
      <c r="L82" s="180">
        <v>1</v>
      </c>
      <c r="M82" s="180">
        <v>1</v>
      </c>
      <c r="N82" s="180">
        <v>1</v>
      </c>
      <c r="O82" s="180"/>
      <c r="P82" s="180">
        <v>3</v>
      </c>
      <c r="Q82" s="180"/>
    </row>
    <row r="83" spans="2:17" ht="15.75" x14ac:dyDescent="0.25">
      <c r="B83" s="176"/>
      <c r="C83" s="176" t="s">
        <v>420</v>
      </c>
      <c r="D83" s="177" t="s">
        <v>397</v>
      </c>
      <c r="E83" s="181">
        <f>SUM(G83:Q83)</f>
        <v>1</v>
      </c>
      <c r="F83" s="190"/>
      <c r="G83" s="180"/>
      <c r="H83" s="180"/>
      <c r="I83" s="180">
        <v>1</v>
      </c>
      <c r="J83" s="180"/>
      <c r="K83" s="180"/>
      <c r="L83" s="180"/>
      <c r="M83" s="180"/>
      <c r="N83" s="180"/>
      <c r="O83" s="180"/>
      <c r="P83" s="180"/>
      <c r="Q83" s="180"/>
    </row>
    <row r="84" spans="2:17" ht="15.75" customHeight="1" x14ac:dyDescent="0.3">
      <c r="B84" s="176"/>
      <c r="C84" s="207" t="s">
        <v>456</v>
      </c>
      <c r="D84" s="199" t="s">
        <v>397</v>
      </c>
      <c r="E84" s="198">
        <f>SUM(E82:E83)</f>
        <v>32</v>
      </c>
      <c r="F84" s="19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</row>
    <row r="85" spans="2:17" ht="28.5" customHeight="1" x14ac:dyDescent="0.3">
      <c r="B85" s="176"/>
      <c r="C85" s="209" t="s">
        <v>516</v>
      </c>
      <c r="D85" s="199"/>
      <c r="E85" s="198"/>
      <c r="F85" s="19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</row>
    <row r="86" spans="2:17" x14ac:dyDescent="0.25">
      <c r="B86" s="176"/>
      <c r="C86" s="176" t="s">
        <v>445</v>
      </c>
      <c r="D86" s="177" t="s">
        <v>397</v>
      </c>
      <c r="E86" s="180">
        <f>SUM(G86:Q86)</f>
        <v>1</v>
      </c>
      <c r="F86" s="190"/>
      <c r="G86" s="180"/>
      <c r="H86" s="180"/>
      <c r="I86" s="180"/>
      <c r="J86" s="180"/>
      <c r="K86" s="180"/>
      <c r="L86" s="180">
        <v>1</v>
      </c>
      <c r="M86" s="180"/>
      <c r="N86" s="180"/>
      <c r="O86" s="180"/>
      <c r="P86" s="180"/>
      <c r="Q86" s="180"/>
    </row>
    <row r="87" spans="2:17" ht="15.75" x14ac:dyDescent="0.25">
      <c r="B87" s="176"/>
      <c r="C87" s="185" t="s">
        <v>423</v>
      </c>
      <c r="D87" s="186" t="s">
        <v>397</v>
      </c>
      <c r="E87" s="181">
        <f>SUM(G87:Q87)</f>
        <v>2</v>
      </c>
      <c r="F87" s="187"/>
      <c r="G87" s="204"/>
      <c r="H87" s="204"/>
      <c r="I87" s="204">
        <v>2</v>
      </c>
      <c r="J87" s="204"/>
      <c r="K87" s="204"/>
      <c r="L87" s="204"/>
      <c r="M87" s="180"/>
      <c r="N87" s="180"/>
      <c r="O87" s="180"/>
      <c r="P87" s="180"/>
      <c r="Q87" s="180"/>
    </row>
    <row r="88" spans="2:17" ht="15.75" x14ac:dyDescent="0.25">
      <c r="B88" s="176"/>
      <c r="C88" s="176" t="s">
        <v>422</v>
      </c>
      <c r="D88" s="177" t="s">
        <v>397</v>
      </c>
      <c r="E88" s="181">
        <f>SUM(G88:Q88)</f>
        <v>1</v>
      </c>
      <c r="F88" s="190"/>
      <c r="G88" s="180"/>
      <c r="H88" s="180"/>
      <c r="I88" s="180">
        <v>1</v>
      </c>
      <c r="J88" s="180"/>
      <c r="K88" s="180"/>
      <c r="L88" s="180"/>
      <c r="M88" s="180"/>
      <c r="N88" s="180"/>
      <c r="O88" s="180"/>
      <c r="P88" s="180"/>
      <c r="Q88" s="180"/>
    </row>
    <row r="89" spans="2:17" ht="15.75" x14ac:dyDescent="0.25">
      <c r="B89" s="176"/>
      <c r="C89" s="176" t="s">
        <v>491</v>
      </c>
      <c r="D89" s="177" t="s">
        <v>397</v>
      </c>
      <c r="E89" s="181">
        <f>SUM(G89:Q89)</f>
        <v>2</v>
      </c>
      <c r="F89" s="202"/>
      <c r="G89" s="180"/>
      <c r="H89" s="180"/>
      <c r="I89" s="180"/>
      <c r="J89" s="180">
        <v>1</v>
      </c>
      <c r="K89" s="180">
        <v>1</v>
      </c>
      <c r="L89" s="180"/>
      <c r="M89" s="180"/>
      <c r="N89" s="180"/>
      <c r="O89" s="180"/>
      <c r="P89" s="180"/>
      <c r="Q89" s="180"/>
    </row>
    <row r="90" spans="2:17" ht="15.75" x14ac:dyDescent="0.25">
      <c r="B90" s="176"/>
      <c r="C90" s="185" t="s">
        <v>416</v>
      </c>
      <c r="D90" s="186" t="s">
        <v>397</v>
      </c>
      <c r="E90" s="181">
        <f>SUM(G90:Q90)</f>
        <v>2</v>
      </c>
      <c r="F90" s="187"/>
      <c r="G90" s="204"/>
      <c r="H90" s="204">
        <v>1</v>
      </c>
      <c r="I90" s="204"/>
      <c r="J90" s="204"/>
      <c r="K90" s="204"/>
      <c r="L90" s="204"/>
      <c r="M90" s="180"/>
      <c r="N90" s="180"/>
      <c r="O90" s="180"/>
      <c r="P90" s="180">
        <v>1</v>
      </c>
      <c r="Q90" s="180"/>
    </row>
    <row r="91" spans="2:17" ht="18.75" x14ac:dyDescent="0.3">
      <c r="B91" s="176"/>
      <c r="C91" s="207" t="s">
        <v>456</v>
      </c>
      <c r="D91" s="199" t="s">
        <v>397</v>
      </c>
      <c r="E91" s="198">
        <f>SUM(E86:E90)</f>
        <v>8</v>
      </c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</row>
    <row r="92" spans="2:17" x14ac:dyDescent="0.25">
      <c r="G92" s="151"/>
    </row>
    <row r="94" spans="2:17" ht="7.5" customHeight="1" x14ac:dyDescent="0.25"/>
    <row r="95" spans="2:17" hidden="1" x14ac:dyDescent="0.25">
      <c r="G95" s="201"/>
    </row>
  </sheetData>
  <mergeCells count="8">
    <mergeCell ref="H3:K5"/>
    <mergeCell ref="M3:P5"/>
    <mergeCell ref="B9:B10"/>
    <mergeCell ref="C9:C10"/>
    <mergeCell ref="D9:D10"/>
    <mergeCell ref="C3:E3"/>
    <mergeCell ref="C4:E4"/>
    <mergeCell ref="E9:E10"/>
  </mergeCells>
  <pageMargins left="0.51181102362204722" right="0.51181102362204722" top="0.78740157480314965" bottom="0.78740157480314965" header="0.31496062992125984" footer="0.31496062992125984"/>
  <pageSetup paperSize="8" scale="75" fitToHeight="1000" orientation="landscape" r:id="rId1"/>
  <headerFooter>
    <oddFooter>&amp;CFolha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90"/>
  <sheetViews>
    <sheetView zoomScaleNormal="100" workbookViewId="0">
      <selection activeCell="B9" sqref="B9:H9"/>
    </sheetView>
  </sheetViews>
  <sheetFormatPr defaultRowHeight="15.75" x14ac:dyDescent="0.2"/>
  <cols>
    <col min="1" max="1" width="4.42578125" style="41" customWidth="1"/>
    <col min="2" max="2" width="7.28515625" style="444" customWidth="1"/>
    <col min="3" max="3" width="13.7109375" style="39" customWidth="1"/>
    <col min="4" max="4" width="49.28515625" style="41" customWidth="1"/>
    <col min="5" max="5" width="9.140625" style="41"/>
    <col min="6" max="6" width="9.140625" style="45"/>
    <col min="7" max="7" width="10.7109375" style="45" customWidth="1"/>
    <col min="8" max="8" width="10.140625" style="45" customWidth="1"/>
    <col min="9" max="9" width="9.140625" style="41"/>
    <col min="10" max="10" width="60.7109375" style="41" customWidth="1"/>
    <col min="11" max="16384" width="9.140625" style="41"/>
  </cols>
  <sheetData>
    <row r="2" spans="2:8" ht="16.5" customHeight="1" x14ac:dyDescent="0.2">
      <c r="B2" s="445"/>
      <c r="C2" s="37"/>
      <c r="D2" s="502" t="s">
        <v>12</v>
      </c>
      <c r="E2" s="503"/>
      <c r="F2" s="504" t="s">
        <v>82</v>
      </c>
      <c r="G2" s="42" t="s">
        <v>84</v>
      </c>
      <c r="H2" s="42" t="s">
        <v>83</v>
      </c>
    </row>
    <row r="3" spans="2:8" ht="16.5" customHeight="1" x14ac:dyDescent="0.2">
      <c r="B3" s="446"/>
      <c r="C3" s="38"/>
      <c r="D3" s="505" t="s">
        <v>8</v>
      </c>
      <c r="E3" s="506"/>
      <c r="F3" s="507"/>
      <c r="G3" s="36" t="s">
        <v>1625</v>
      </c>
      <c r="H3" s="257" t="s">
        <v>1624</v>
      </c>
    </row>
    <row r="4" spans="2:8" ht="16.5" customHeight="1" x14ac:dyDescent="0.2">
      <c r="B4" s="446"/>
      <c r="C4" s="38"/>
      <c r="D4" s="505" t="s">
        <v>9</v>
      </c>
      <c r="E4" s="506"/>
      <c r="F4" s="43"/>
      <c r="G4" s="44"/>
      <c r="H4" s="9"/>
    </row>
    <row r="5" spans="2:8" ht="29.25" customHeight="1" x14ac:dyDescent="0.2">
      <c r="B5" s="446"/>
      <c r="C5" s="38"/>
      <c r="D5" s="766" t="s">
        <v>148</v>
      </c>
      <c r="E5" s="752"/>
      <c r="F5" s="752"/>
      <c r="G5" s="672"/>
      <c r="H5" s="753"/>
    </row>
    <row r="6" spans="2:8" ht="29.25" customHeight="1" x14ac:dyDescent="0.2">
      <c r="B6" s="446"/>
      <c r="C6" s="38"/>
      <c r="D6" s="766" t="s">
        <v>149</v>
      </c>
      <c r="E6" s="752"/>
      <c r="F6" s="752"/>
      <c r="G6" s="672"/>
      <c r="H6" s="754"/>
    </row>
    <row r="7" spans="2:8" ht="29.25" customHeight="1" x14ac:dyDescent="0.2">
      <c r="B7" s="446"/>
      <c r="C7" s="38"/>
      <c r="D7" s="766" t="s">
        <v>1578</v>
      </c>
      <c r="E7" s="755"/>
      <c r="F7" s="755"/>
      <c r="G7" s="756"/>
      <c r="H7" s="753"/>
    </row>
    <row r="8" spans="2:8" ht="29.25" customHeight="1" x14ac:dyDescent="0.2">
      <c r="B8" s="446"/>
      <c r="C8" s="38"/>
      <c r="D8" s="767" t="s">
        <v>529</v>
      </c>
      <c r="E8" s="757"/>
      <c r="F8" s="757"/>
      <c r="G8" s="757"/>
      <c r="H8" s="754"/>
    </row>
    <row r="9" spans="2:8" ht="18" customHeight="1" x14ac:dyDescent="0.2">
      <c r="B9" s="758" t="s">
        <v>1607</v>
      </c>
      <c r="C9" s="682"/>
      <c r="D9" s="682"/>
      <c r="E9" s="682"/>
      <c r="F9" s="682"/>
      <c r="G9" s="682"/>
      <c r="H9" s="684"/>
    </row>
    <row r="10" spans="2:8" ht="9.75" customHeight="1" x14ac:dyDescent="0.2"/>
    <row r="11" spans="2:8" ht="39.75" customHeight="1" x14ac:dyDescent="0.2">
      <c r="B11" s="508" t="s">
        <v>0</v>
      </c>
      <c r="C11" s="509" t="s">
        <v>11</v>
      </c>
      <c r="D11" s="510" t="s">
        <v>1</v>
      </c>
      <c r="E11" s="510" t="s">
        <v>2</v>
      </c>
      <c r="F11" s="511" t="s">
        <v>3</v>
      </c>
      <c r="G11" s="511" t="s">
        <v>7</v>
      </c>
      <c r="H11" s="511" t="s">
        <v>4</v>
      </c>
    </row>
    <row r="12" spans="2:8" ht="15.75" customHeight="1" x14ac:dyDescent="0.2">
      <c r="B12" s="512" t="s">
        <v>89</v>
      </c>
      <c r="C12" s="493"/>
      <c r="D12" s="513" t="s">
        <v>462</v>
      </c>
      <c r="E12" s="514"/>
      <c r="F12" s="515"/>
      <c r="G12" s="515"/>
      <c r="H12" s="515"/>
    </row>
    <row r="13" spans="2:8" ht="24" customHeight="1" x14ac:dyDescent="0.2">
      <c r="B13" s="512" t="s">
        <v>90</v>
      </c>
      <c r="C13" s="493" t="s">
        <v>530</v>
      </c>
      <c r="D13" s="516" t="s">
        <v>1579</v>
      </c>
      <c r="E13" s="517" t="s">
        <v>16</v>
      </c>
      <c r="F13" s="518">
        <v>1</v>
      </c>
      <c r="G13" s="518">
        <f>TRUNC(H22,2)</f>
        <v>334.59</v>
      </c>
      <c r="H13" s="518">
        <f t="shared" ref="H13:H21" si="0">TRUNC(F13*G13,2)</f>
        <v>334.59</v>
      </c>
    </row>
    <row r="14" spans="2:8" ht="24" customHeight="1" x14ac:dyDescent="0.2">
      <c r="B14" s="512"/>
      <c r="C14" s="493" t="s">
        <v>26</v>
      </c>
      <c r="D14" s="519" t="s">
        <v>27</v>
      </c>
      <c r="E14" s="517" t="s">
        <v>23</v>
      </c>
      <c r="F14" s="518">
        <v>0.3</v>
      </c>
      <c r="G14" s="518">
        <f>TRUNC(8.55,2)</f>
        <v>8.5500000000000007</v>
      </c>
      <c r="H14" s="518">
        <f t="shared" si="0"/>
        <v>2.56</v>
      </c>
    </row>
    <row r="15" spans="2:8" ht="24" customHeight="1" x14ac:dyDescent="0.2">
      <c r="B15" s="512"/>
      <c r="C15" s="493" t="s">
        <v>28</v>
      </c>
      <c r="D15" s="519" t="s">
        <v>29</v>
      </c>
      <c r="E15" s="517" t="s">
        <v>18</v>
      </c>
      <c r="F15" s="518">
        <v>9.1999999999999993</v>
      </c>
      <c r="G15" s="518">
        <f>TRUNC(3.796,2)</f>
        <v>3.79</v>
      </c>
      <c r="H15" s="518">
        <f t="shared" si="0"/>
        <v>34.86</v>
      </c>
    </row>
    <row r="16" spans="2:8" ht="24" customHeight="1" x14ac:dyDescent="0.2">
      <c r="B16" s="512"/>
      <c r="C16" s="493" t="s">
        <v>30</v>
      </c>
      <c r="D16" s="519" t="s">
        <v>31</v>
      </c>
      <c r="E16" s="517" t="s">
        <v>32</v>
      </c>
      <c r="F16" s="518">
        <v>0</v>
      </c>
      <c r="G16" s="518">
        <f>TRUNC(54.83,2)</f>
        <v>54.83</v>
      </c>
      <c r="H16" s="518">
        <f t="shared" si="0"/>
        <v>0</v>
      </c>
    </row>
    <row r="17" spans="2:8" ht="24" customHeight="1" x14ac:dyDescent="0.2">
      <c r="B17" s="512"/>
      <c r="C17" s="493" t="s">
        <v>33</v>
      </c>
      <c r="D17" s="519" t="s">
        <v>34</v>
      </c>
      <c r="E17" s="517" t="s">
        <v>23</v>
      </c>
      <c r="F17" s="518">
        <v>5</v>
      </c>
      <c r="G17" s="518">
        <f>TRUNC(6.8534,2)</f>
        <v>6.85</v>
      </c>
      <c r="H17" s="518">
        <f t="shared" si="0"/>
        <v>34.25</v>
      </c>
    </row>
    <row r="18" spans="2:8" ht="24" customHeight="1" x14ac:dyDescent="0.2">
      <c r="B18" s="512"/>
      <c r="C18" s="493" t="s">
        <v>35</v>
      </c>
      <c r="D18" s="519" t="s">
        <v>36</v>
      </c>
      <c r="E18" s="517" t="s">
        <v>37</v>
      </c>
      <c r="F18" s="518">
        <v>2.06</v>
      </c>
      <c r="G18" s="518">
        <f>TRUNC(15.09,2)</f>
        <v>15.09</v>
      </c>
      <c r="H18" s="518">
        <f t="shared" si="0"/>
        <v>31.08</v>
      </c>
    </row>
    <row r="19" spans="2:8" ht="24" customHeight="1" x14ac:dyDescent="0.2">
      <c r="B19" s="512"/>
      <c r="C19" s="493" t="s">
        <v>463</v>
      </c>
      <c r="D19" s="519" t="s">
        <v>464</v>
      </c>
      <c r="E19" s="517" t="s">
        <v>37</v>
      </c>
      <c r="F19" s="518">
        <v>2.06</v>
      </c>
      <c r="G19" s="518">
        <f>TRUNC(22.42,2)</f>
        <v>22.42</v>
      </c>
      <c r="H19" s="518">
        <f t="shared" si="0"/>
        <v>46.18</v>
      </c>
    </row>
    <row r="20" spans="2:8" ht="24" customHeight="1" x14ac:dyDescent="0.2">
      <c r="B20" s="512"/>
      <c r="C20" s="493" t="s">
        <v>465</v>
      </c>
      <c r="D20" s="519" t="s">
        <v>466</v>
      </c>
      <c r="E20" s="517" t="s">
        <v>37</v>
      </c>
      <c r="F20" s="518">
        <v>4.12</v>
      </c>
      <c r="G20" s="518">
        <f>TRUNC(20.83,2)</f>
        <v>20.83</v>
      </c>
      <c r="H20" s="518">
        <f t="shared" si="0"/>
        <v>85.81</v>
      </c>
    </row>
    <row r="21" spans="2:8" ht="24" customHeight="1" x14ac:dyDescent="0.2">
      <c r="B21" s="512"/>
      <c r="C21" s="493" t="s">
        <v>467</v>
      </c>
      <c r="D21" s="519" t="s">
        <v>468</v>
      </c>
      <c r="E21" s="517" t="s">
        <v>37</v>
      </c>
      <c r="F21" s="518">
        <v>1</v>
      </c>
      <c r="G21" s="518">
        <f>TRUNC(99.8583,2)</f>
        <v>99.85</v>
      </c>
      <c r="H21" s="518">
        <f t="shared" si="0"/>
        <v>99.85</v>
      </c>
    </row>
    <row r="22" spans="2:8" ht="24" customHeight="1" x14ac:dyDescent="0.2">
      <c r="B22" s="512"/>
      <c r="C22" s="493"/>
      <c r="D22" s="519"/>
      <c r="E22" s="517"/>
      <c r="F22" s="518" t="s">
        <v>38</v>
      </c>
      <c r="G22" s="518"/>
      <c r="H22" s="518">
        <f>TRUNC(SUM(H14:H21),2)</f>
        <v>334.59</v>
      </c>
    </row>
    <row r="23" spans="2:8" ht="84" x14ac:dyDescent="0.2">
      <c r="B23" s="512" t="s">
        <v>91</v>
      </c>
      <c r="C23" s="493" t="s">
        <v>905</v>
      </c>
      <c r="D23" s="516" t="s">
        <v>910</v>
      </c>
      <c r="E23" s="517" t="s">
        <v>906</v>
      </c>
      <c r="F23" s="518">
        <v>1</v>
      </c>
      <c r="G23" s="518">
        <f>TRUNC(800,2)</f>
        <v>800</v>
      </c>
      <c r="H23" s="518">
        <f>TRUNC(F23*G23,2)</f>
        <v>800</v>
      </c>
    </row>
    <row r="24" spans="2:8" ht="15.75" customHeight="1" x14ac:dyDescent="0.2">
      <c r="B24" s="512"/>
      <c r="C24" s="493" t="s">
        <v>907</v>
      </c>
      <c r="D24" s="519" t="s">
        <v>908</v>
      </c>
      <c r="E24" s="517" t="s">
        <v>909</v>
      </c>
      <c r="F24" s="518">
        <v>1</v>
      </c>
      <c r="G24" s="518">
        <f>TRUNC(800,2)</f>
        <v>800</v>
      </c>
      <c r="H24" s="518">
        <f>TRUNC(F24*G24,2)</f>
        <v>800</v>
      </c>
    </row>
    <row r="25" spans="2:8" ht="15.75" customHeight="1" x14ac:dyDescent="0.2">
      <c r="B25" s="512"/>
      <c r="C25" s="493"/>
      <c r="D25" s="519"/>
      <c r="E25" s="517"/>
      <c r="F25" s="518" t="s">
        <v>38</v>
      </c>
      <c r="G25" s="518"/>
      <c r="H25" s="518">
        <f>TRUNC(SUM(H24:H24),2)</f>
        <v>800</v>
      </c>
    </row>
    <row r="26" spans="2:8" ht="108" x14ac:dyDescent="0.2">
      <c r="B26" s="512" t="s">
        <v>92</v>
      </c>
      <c r="C26" s="79" t="s">
        <v>917</v>
      </c>
      <c r="D26" s="260" t="s">
        <v>920</v>
      </c>
      <c r="E26" s="76" t="s">
        <v>16</v>
      </c>
      <c r="F26" s="76">
        <v>1</v>
      </c>
      <c r="G26" s="76">
        <f>TRUNC(H32,2)</f>
        <v>33.799999999999997</v>
      </c>
      <c r="H26" s="76">
        <f t="shared" ref="H26:H31" si="1">TRUNC(F26*G26,2)</f>
        <v>33.799999999999997</v>
      </c>
    </row>
    <row r="27" spans="2:8" ht="15.75" customHeight="1" x14ac:dyDescent="0.2">
      <c r="B27" s="512"/>
      <c r="C27" s="76" t="s">
        <v>918</v>
      </c>
      <c r="D27" s="76" t="s">
        <v>919</v>
      </c>
      <c r="E27" s="76" t="s">
        <v>16</v>
      </c>
      <c r="F27" s="76">
        <v>0.11</v>
      </c>
      <c r="G27" s="76">
        <f>TRUNC(12.51,2)</f>
        <v>12.51</v>
      </c>
      <c r="H27" s="76">
        <f t="shared" si="1"/>
        <v>1.37</v>
      </c>
    </row>
    <row r="28" spans="2:8" ht="15.75" customHeight="1" x14ac:dyDescent="0.2">
      <c r="B28" s="512"/>
      <c r="C28" s="76" t="s">
        <v>26</v>
      </c>
      <c r="D28" s="76" t="s">
        <v>27</v>
      </c>
      <c r="E28" s="76" t="s">
        <v>23</v>
      </c>
      <c r="F28" s="76">
        <v>7.0000000000000007E-2</v>
      </c>
      <c r="G28" s="76">
        <f>TRUNC(8.55,2)</f>
        <v>8.5500000000000007</v>
      </c>
      <c r="H28" s="76">
        <f t="shared" si="1"/>
        <v>0.59</v>
      </c>
    </row>
    <row r="29" spans="2:8" ht="15.75" customHeight="1" x14ac:dyDescent="0.2">
      <c r="B29" s="512"/>
      <c r="C29" s="76" t="s">
        <v>28</v>
      </c>
      <c r="D29" s="76" t="s">
        <v>29</v>
      </c>
      <c r="E29" s="76" t="s">
        <v>18</v>
      </c>
      <c r="F29" s="76">
        <v>0.25</v>
      </c>
      <c r="G29" s="76">
        <f>TRUNC(3.796,2)</f>
        <v>3.79</v>
      </c>
      <c r="H29" s="76">
        <f t="shared" si="1"/>
        <v>0.94</v>
      </c>
    </row>
    <row r="30" spans="2:8" ht="15.75" customHeight="1" x14ac:dyDescent="0.2">
      <c r="B30" s="512"/>
      <c r="C30" s="76" t="s">
        <v>35</v>
      </c>
      <c r="D30" s="76" t="s">
        <v>36</v>
      </c>
      <c r="E30" s="76" t="s">
        <v>37</v>
      </c>
      <c r="F30" s="76">
        <v>0.82400000000000007</v>
      </c>
      <c r="G30" s="76">
        <f>TRUNC(15.09,2)</f>
        <v>15.09</v>
      </c>
      <c r="H30" s="76">
        <f t="shared" si="1"/>
        <v>12.43</v>
      </c>
    </row>
    <row r="31" spans="2:8" ht="15.75" customHeight="1" x14ac:dyDescent="0.2">
      <c r="B31" s="512"/>
      <c r="C31" s="76" t="s">
        <v>463</v>
      </c>
      <c r="D31" s="76" t="s">
        <v>464</v>
      </c>
      <c r="E31" s="76" t="s">
        <v>37</v>
      </c>
      <c r="F31" s="76">
        <v>0.82400000000000007</v>
      </c>
      <c r="G31" s="76">
        <f>TRUNC(22.42,2)</f>
        <v>22.42</v>
      </c>
      <c r="H31" s="76">
        <f t="shared" si="1"/>
        <v>18.47</v>
      </c>
    </row>
    <row r="32" spans="2:8" ht="15.75" customHeight="1" x14ac:dyDescent="0.2">
      <c r="B32" s="512"/>
      <c r="C32" s="76"/>
      <c r="D32" s="76"/>
      <c r="E32" s="76"/>
      <c r="F32" s="76" t="s">
        <v>38</v>
      </c>
      <c r="G32" s="76"/>
      <c r="H32" s="76">
        <f>TRUNC(SUM(H27:H31),2)</f>
        <v>33.799999999999997</v>
      </c>
    </row>
    <row r="33" spans="2:8" ht="72" x14ac:dyDescent="0.2">
      <c r="B33" s="512" t="s">
        <v>93</v>
      </c>
      <c r="C33" s="493" t="s">
        <v>913</v>
      </c>
      <c r="D33" s="494" t="s">
        <v>916</v>
      </c>
      <c r="E33" s="517" t="s">
        <v>16</v>
      </c>
      <c r="F33" s="518">
        <v>1</v>
      </c>
      <c r="G33" s="518">
        <f>TRUNC(H39,2)</f>
        <v>19.03</v>
      </c>
      <c r="H33" s="518">
        <f t="shared" ref="H33:H38" si="2">TRUNC(F33*G33,2)</f>
        <v>19.03</v>
      </c>
    </row>
    <row r="34" spans="2:8" ht="15.75" customHeight="1" x14ac:dyDescent="0.2">
      <c r="B34" s="512"/>
      <c r="C34" s="493" t="s">
        <v>914</v>
      </c>
      <c r="D34" s="520" t="s">
        <v>915</v>
      </c>
      <c r="E34" s="517" t="s">
        <v>16</v>
      </c>
      <c r="F34" s="518">
        <v>0.26250000000000001</v>
      </c>
      <c r="G34" s="518">
        <f>TRUNC(30,2)</f>
        <v>30</v>
      </c>
      <c r="H34" s="518">
        <f t="shared" si="2"/>
        <v>7.87</v>
      </c>
    </row>
    <row r="35" spans="2:8" ht="15.75" customHeight="1" x14ac:dyDescent="0.2">
      <c r="B35" s="512"/>
      <c r="C35" s="493" t="s">
        <v>26</v>
      </c>
      <c r="D35" s="520" t="s">
        <v>27</v>
      </c>
      <c r="E35" s="517" t="s">
        <v>23</v>
      </c>
      <c r="F35" s="518">
        <v>0.05</v>
      </c>
      <c r="G35" s="518">
        <f>TRUNC(8.55,2)</f>
        <v>8.5500000000000007</v>
      </c>
      <c r="H35" s="518">
        <f t="shared" si="2"/>
        <v>0.42</v>
      </c>
    </row>
    <row r="36" spans="2:8" ht="15.75" customHeight="1" x14ac:dyDescent="0.2">
      <c r="B36" s="512"/>
      <c r="C36" s="493" t="s">
        <v>28</v>
      </c>
      <c r="D36" s="520" t="s">
        <v>29</v>
      </c>
      <c r="E36" s="517" t="s">
        <v>18</v>
      </c>
      <c r="F36" s="518">
        <v>0.8</v>
      </c>
      <c r="G36" s="518">
        <f>TRUNC(3.796,2)</f>
        <v>3.79</v>
      </c>
      <c r="H36" s="518">
        <f t="shared" si="2"/>
        <v>3.03</v>
      </c>
    </row>
    <row r="37" spans="2:8" ht="15.75" customHeight="1" x14ac:dyDescent="0.2">
      <c r="B37" s="512"/>
      <c r="C37" s="493" t="s">
        <v>35</v>
      </c>
      <c r="D37" s="520" t="s">
        <v>36</v>
      </c>
      <c r="E37" s="517" t="s">
        <v>37</v>
      </c>
      <c r="F37" s="518">
        <v>0.20600000000000002</v>
      </c>
      <c r="G37" s="518">
        <f>TRUNC(15.09,2)</f>
        <v>15.09</v>
      </c>
      <c r="H37" s="518">
        <f t="shared" si="2"/>
        <v>3.1</v>
      </c>
    </row>
    <row r="38" spans="2:8" ht="15.75" customHeight="1" x14ac:dyDescent="0.2">
      <c r="B38" s="512"/>
      <c r="C38" s="493" t="s">
        <v>463</v>
      </c>
      <c r="D38" s="520" t="s">
        <v>464</v>
      </c>
      <c r="E38" s="517" t="s">
        <v>37</v>
      </c>
      <c r="F38" s="518">
        <v>0.20600000000000002</v>
      </c>
      <c r="G38" s="518">
        <f>TRUNC(22.42,2)</f>
        <v>22.42</v>
      </c>
      <c r="H38" s="518">
        <f t="shared" si="2"/>
        <v>4.6100000000000003</v>
      </c>
    </row>
    <row r="39" spans="2:8" ht="15.75" customHeight="1" x14ac:dyDescent="0.2">
      <c r="B39" s="512"/>
      <c r="C39" s="493"/>
      <c r="D39" s="520"/>
      <c r="E39" s="517"/>
      <c r="F39" s="518" t="s">
        <v>38</v>
      </c>
      <c r="G39" s="518"/>
      <c r="H39" s="518">
        <f>TRUNC(SUM(H34:H38),2)</f>
        <v>19.03</v>
      </c>
    </row>
    <row r="40" spans="2:8" ht="15.75" customHeight="1" x14ac:dyDescent="0.2">
      <c r="B40" s="512" t="s">
        <v>205</v>
      </c>
      <c r="C40" s="493"/>
      <c r="D40" s="513" t="s">
        <v>395</v>
      </c>
      <c r="E40" s="517"/>
      <c r="F40" s="518"/>
      <c r="G40" s="518"/>
      <c r="H40" s="518"/>
    </row>
    <row r="41" spans="2:8" ht="23.25" customHeight="1" x14ac:dyDescent="0.2">
      <c r="B41" s="512" t="s">
        <v>1014</v>
      </c>
      <c r="C41" s="493" t="s">
        <v>497</v>
      </c>
      <c r="D41" s="516" t="s">
        <v>498</v>
      </c>
      <c r="E41" s="517" t="s">
        <v>18</v>
      </c>
      <c r="F41" s="518">
        <v>1</v>
      </c>
      <c r="G41" s="518">
        <f>TRUNC(H44,2)</f>
        <v>2.66</v>
      </c>
      <c r="H41" s="518">
        <f>TRUNC(F41*G41,2)</f>
        <v>2.66</v>
      </c>
    </row>
    <row r="42" spans="2:8" ht="23.25" customHeight="1" x14ac:dyDescent="0.2">
      <c r="B42" s="512"/>
      <c r="C42" s="493" t="s">
        <v>1184</v>
      </c>
      <c r="D42" s="519" t="s">
        <v>39</v>
      </c>
      <c r="E42" s="517" t="s">
        <v>37</v>
      </c>
      <c r="F42" s="518">
        <v>8.2500000000000004E-2</v>
      </c>
      <c r="G42" s="518">
        <f>TRUNC(21.86,2)</f>
        <v>21.86</v>
      </c>
      <c r="H42" s="518">
        <f>TRUNC(F42*G42,2)</f>
        <v>1.8</v>
      </c>
    </row>
    <row r="43" spans="2:8" ht="23.25" customHeight="1" x14ac:dyDescent="0.2">
      <c r="B43" s="512"/>
      <c r="C43" s="493" t="s">
        <v>1185</v>
      </c>
      <c r="D43" s="519" t="s">
        <v>499</v>
      </c>
      <c r="E43" s="517" t="s">
        <v>37</v>
      </c>
      <c r="F43" s="518">
        <v>2.93E-2</v>
      </c>
      <c r="G43" s="518">
        <f>TRUNC(29.46,2)</f>
        <v>29.46</v>
      </c>
      <c r="H43" s="518">
        <f>TRUNC(F43*G43,2)</f>
        <v>0.86</v>
      </c>
    </row>
    <row r="44" spans="2:8" ht="23.25" customHeight="1" x14ac:dyDescent="0.2">
      <c r="B44" s="512"/>
      <c r="C44" s="493"/>
      <c r="D44" s="519"/>
      <c r="E44" s="517"/>
      <c r="F44" s="518" t="s">
        <v>38</v>
      </c>
      <c r="G44" s="518"/>
      <c r="H44" s="518">
        <f>TRUNC(SUM(H42:H43),2)</f>
        <v>2.66</v>
      </c>
    </row>
    <row r="45" spans="2:8" ht="36" x14ac:dyDescent="0.2">
      <c r="B45" s="512" t="s">
        <v>1015</v>
      </c>
      <c r="C45" s="493" t="s">
        <v>531</v>
      </c>
      <c r="D45" s="516" t="s">
        <v>1580</v>
      </c>
      <c r="E45" s="517" t="s">
        <v>16</v>
      </c>
      <c r="F45" s="518">
        <v>1</v>
      </c>
      <c r="G45" s="518">
        <f>TRUNC(H50,2)</f>
        <v>12.83</v>
      </c>
      <c r="H45" s="518">
        <f>TRUNC(F45*G45,2)</f>
        <v>12.83</v>
      </c>
    </row>
    <row r="46" spans="2:8" ht="21" customHeight="1" x14ac:dyDescent="0.2">
      <c r="B46" s="512"/>
      <c r="C46" s="493" t="s">
        <v>1184</v>
      </c>
      <c r="D46" s="519" t="s">
        <v>39</v>
      </c>
      <c r="E46" s="517" t="s">
        <v>37</v>
      </c>
      <c r="F46" s="518">
        <v>0.29720000000000002</v>
      </c>
      <c r="G46" s="518">
        <f>TRUNC(21.86,2)</f>
        <v>21.86</v>
      </c>
      <c r="H46" s="518">
        <f>TRUNC(F46*G46,2)</f>
        <v>6.49</v>
      </c>
    </row>
    <row r="47" spans="2:8" ht="21" customHeight="1" x14ac:dyDescent="0.2">
      <c r="B47" s="512"/>
      <c r="C47" s="493" t="s">
        <v>1185</v>
      </c>
      <c r="D47" s="519" t="s">
        <v>499</v>
      </c>
      <c r="E47" s="517" t="s">
        <v>37</v>
      </c>
      <c r="F47" s="518">
        <v>0.1055</v>
      </c>
      <c r="G47" s="518">
        <f>TRUNC(29.46,2)</f>
        <v>29.46</v>
      </c>
      <c r="H47" s="518">
        <f>TRUNC(F47*G47,2)</f>
        <v>3.1</v>
      </c>
    </row>
    <row r="48" spans="2:8" ht="21" customHeight="1" x14ac:dyDescent="0.2">
      <c r="B48" s="512"/>
      <c r="C48" s="493" t="s">
        <v>1186</v>
      </c>
      <c r="D48" s="519" t="s">
        <v>1187</v>
      </c>
      <c r="E48" s="517" t="s">
        <v>40</v>
      </c>
      <c r="F48" s="518">
        <v>4.82E-2</v>
      </c>
      <c r="G48" s="518">
        <f>TRUNC(26.89,2)</f>
        <v>26.89</v>
      </c>
      <c r="H48" s="518">
        <f>TRUNC(F48*G48,2)</f>
        <v>1.29</v>
      </c>
    </row>
    <row r="49" spans="2:8" ht="21" customHeight="1" x14ac:dyDescent="0.2">
      <c r="B49" s="512"/>
      <c r="C49" s="493" t="s">
        <v>1188</v>
      </c>
      <c r="D49" s="519" t="s">
        <v>1189</v>
      </c>
      <c r="E49" s="517" t="s">
        <v>41</v>
      </c>
      <c r="F49" s="518">
        <v>6.9900000000000004E-2</v>
      </c>
      <c r="G49" s="518">
        <f>TRUNC(27.94,2)</f>
        <v>27.94</v>
      </c>
      <c r="H49" s="518">
        <f>TRUNC(F49*G49,2)</f>
        <v>1.95</v>
      </c>
    </row>
    <row r="50" spans="2:8" ht="21" customHeight="1" x14ac:dyDescent="0.2">
      <c r="B50" s="512"/>
      <c r="C50" s="493"/>
      <c r="D50" s="519"/>
      <c r="E50" s="517"/>
      <c r="F50" s="518" t="s">
        <v>38</v>
      </c>
      <c r="G50" s="518"/>
      <c r="H50" s="518">
        <f>TRUNC(SUM(H46:H49),2)</f>
        <v>12.83</v>
      </c>
    </row>
    <row r="51" spans="2:8" ht="15.75" customHeight="1" x14ac:dyDescent="0.2">
      <c r="B51" s="512" t="s">
        <v>1016</v>
      </c>
      <c r="C51" s="493" t="s">
        <v>1190</v>
      </c>
      <c r="D51" s="519" t="s">
        <v>501</v>
      </c>
      <c r="E51" s="517" t="s">
        <v>19</v>
      </c>
      <c r="F51" s="518">
        <v>1</v>
      </c>
      <c r="G51" s="518">
        <f>TRUNC(57.120128,2)</f>
        <v>57.12</v>
      </c>
      <c r="H51" s="518">
        <f>TRUNC(F51*G51,2)</f>
        <v>57.12</v>
      </c>
    </row>
    <row r="52" spans="2:8" ht="15.75" customHeight="1" x14ac:dyDescent="0.2">
      <c r="B52" s="512"/>
      <c r="C52" s="493" t="s">
        <v>1184</v>
      </c>
      <c r="D52" s="519" t="s">
        <v>39</v>
      </c>
      <c r="E52" s="517" t="s">
        <v>37</v>
      </c>
      <c r="F52" s="518">
        <v>2.3248000000000002</v>
      </c>
      <c r="G52" s="518">
        <f>TRUNC(21.86,2)</f>
        <v>21.86</v>
      </c>
      <c r="H52" s="518">
        <f>TRUNC(F52*G52,2)</f>
        <v>50.82</v>
      </c>
    </row>
    <row r="53" spans="2:8" ht="15.75" customHeight="1" x14ac:dyDescent="0.2">
      <c r="B53" s="512"/>
      <c r="C53" s="493" t="s">
        <v>1191</v>
      </c>
      <c r="D53" s="519" t="s">
        <v>47</v>
      </c>
      <c r="E53" s="517" t="s">
        <v>37</v>
      </c>
      <c r="F53" s="518">
        <v>0.22500000000000001</v>
      </c>
      <c r="G53" s="518">
        <f>TRUNC(28,2)</f>
        <v>28</v>
      </c>
      <c r="H53" s="518">
        <f>TRUNC(F53*G53,2)</f>
        <v>6.3</v>
      </c>
    </row>
    <row r="54" spans="2:8" ht="15.75" customHeight="1" x14ac:dyDescent="0.2">
      <c r="B54" s="512"/>
      <c r="C54" s="493"/>
      <c r="D54" s="519"/>
      <c r="E54" s="517"/>
      <c r="F54" s="518" t="s">
        <v>38</v>
      </c>
      <c r="G54" s="518"/>
      <c r="H54" s="518">
        <f>TRUNC(SUM(H52:H53),2)</f>
        <v>57.12</v>
      </c>
    </row>
    <row r="55" spans="2:8" ht="36" x14ac:dyDescent="0.2">
      <c r="B55" s="512" t="s">
        <v>1017</v>
      </c>
      <c r="C55" s="62" t="s">
        <v>532</v>
      </c>
      <c r="D55" s="516" t="s">
        <v>1581</v>
      </c>
      <c r="E55" s="517" t="s">
        <v>16</v>
      </c>
      <c r="F55" s="518">
        <v>1</v>
      </c>
      <c r="G55" s="518">
        <f>TRUNC(H57,2)</f>
        <v>18.649999999999999</v>
      </c>
      <c r="H55" s="518">
        <f>TRUNC(F55*G55,2)</f>
        <v>18.649999999999999</v>
      </c>
    </row>
    <row r="56" spans="2:8" ht="24" x14ac:dyDescent="0.2">
      <c r="B56" s="512"/>
      <c r="C56" s="473" t="s">
        <v>35</v>
      </c>
      <c r="D56" s="516" t="s">
        <v>36</v>
      </c>
      <c r="E56" s="517" t="s">
        <v>37</v>
      </c>
      <c r="F56" s="518">
        <v>1.236</v>
      </c>
      <c r="G56" s="518">
        <f>TRUNC(15.09,2)</f>
        <v>15.09</v>
      </c>
      <c r="H56" s="518">
        <f>TRUNC(F56*G56,2)</f>
        <v>18.649999999999999</v>
      </c>
    </row>
    <row r="57" spans="2:8" x14ac:dyDescent="0.2">
      <c r="B57" s="512"/>
      <c r="C57" s="473"/>
      <c r="D57" s="516"/>
      <c r="E57" s="517"/>
      <c r="F57" s="518" t="s">
        <v>38</v>
      </c>
      <c r="G57" s="518"/>
      <c r="H57" s="518">
        <f>TRUNC(SUM(H56:H56),2)</f>
        <v>18.649999999999999</v>
      </c>
    </row>
    <row r="58" spans="2:8" ht="25.5" x14ac:dyDescent="0.2">
      <c r="B58" s="512" t="s">
        <v>1018</v>
      </c>
      <c r="C58" s="373" t="s">
        <v>1192</v>
      </c>
      <c r="D58" s="516" t="s">
        <v>1193</v>
      </c>
      <c r="E58" s="521" t="s">
        <v>16</v>
      </c>
      <c r="F58" s="522">
        <v>1</v>
      </c>
      <c r="G58" s="522">
        <f>H61</f>
        <v>3.34</v>
      </c>
      <c r="H58" s="54">
        <f>TRUNC(F58*G58,2)</f>
        <v>3.34</v>
      </c>
    </row>
    <row r="59" spans="2:8" ht="25.5" x14ac:dyDescent="0.2">
      <c r="B59" s="512"/>
      <c r="C59" s="373" t="s">
        <v>1184</v>
      </c>
      <c r="D59" s="516" t="s">
        <v>39</v>
      </c>
      <c r="E59" s="521" t="s">
        <v>37</v>
      </c>
      <c r="F59" s="522">
        <v>0.1053</v>
      </c>
      <c r="G59" s="522">
        <f>TRUNC(21.86,2)</f>
        <v>21.86</v>
      </c>
      <c r="H59" s="54">
        <f>TRUNC(F59*G59,2)</f>
        <v>2.2999999999999998</v>
      </c>
    </row>
    <row r="60" spans="2:8" ht="25.5" x14ac:dyDescent="0.2">
      <c r="B60" s="512"/>
      <c r="C60" s="373" t="s">
        <v>1191</v>
      </c>
      <c r="D60" s="516" t="s">
        <v>47</v>
      </c>
      <c r="E60" s="521" t="s">
        <v>37</v>
      </c>
      <c r="F60" s="522">
        <v>3.7400000000000003E-2</v>
      </c>
      <c r="G60" s="522">
        <f>TRUNC(28,2)</f>
        <v>28</v>
      </c>
      <c r="H60" s="54">
        <f>TRUNC(F60*G60,2)</f>
        <v>1.04</v>
      </c>
    </row>
    <row r="61" spans="2:8" x14ac:dyDescent="0.2">
      <c r="B61" s="512"/>
      <c r="C61" s="373"/>
      <c r="D61" s="516"/>
      <c r="E61" s="521"/>
      <c r="F61" s="522" t="s">
        <v>38</v>
      </c>
      <c r="G61" s="522"/>
      <c r="H61" s="54">
        <f>TRUNC(SUM(H59:H60),2)</f>
        <v>3.34</v>
      </c>
    </row>
    <row r="62" spans="2:8" ht="31.5" x14ac:dyDescent="0.2">
      <c r="B62" s="492" t="s">
        <v>1178</v>
      </c>
      <c r="C62" s="493" t="s">
        <v>533</v>
      </c>
      <c r="D62" s="519" t="s">
        <v>534</v>
      </c>
      <c r="E62" s="517" t="s">
        <v>22</v>
      </c>
      <c r="F62" s="518">
        <v>1</v>
      </c>
      <c r="G62" s="518">
        <f>TRUNC(239.32562,2)</f>
        <v>239.32</v>
      </c>
      <c r="H62" s="518">
        <f>TRUNC(F62*G62,2)</f>
        <v>239.32</v>
      </c>
    </row>
    <row r="63" spans="2:8" x14ac:dyDescent="0.2">
      <c r="B63" s="492"/>
      <c r="C63" s="493" t="s">
        <v>35</v>
      </c>
      <c r="D63" s="519" t="s">
        <v>36</v>
      </c>
      <c r="E63" s="517" t="s">
        <v>37</v>
      </c>
      <c r="F63" s="518">
        <v>0.61799999999999999</v>
      </c>
      <c r="G63" s="518">
        <f>TRUNC(15.09,2)</f>
        <v>15.09</v>
      </c>
      <c r="H63" s="518">
        <f>TRUNC(F63*G63,2)</f>
        <v>9.32</v>
      </c>
    </row>
    <row r="64" spans="2:8" x14ac:dyDescent="0.2">
      <c r="B64" s="492"/>
      <c r="C64" s="493" t="s">
        <v>535</v>
      </c>
      <c r="D64" s="519" t="s">
        <v>536</v>
      </c>
      <c r="E64" s="517" t="s">
        <v>22</v>
      </c>
      <c r="F64" s="518">
        <v>1</v>
      </c>
      <c r="G64" s="518">
        <f>TRUNC(230,2)</f>
        <v>230</v>
      </c>
      <c r="H64" s="518">
        <f>TRUNC(F64*G64,2)</f>
        <v>230</v>
      </c>
    </row>
    <row r="65" spans="2:8" x14ac:dyDescent="0.2">
      <c r="B65" s="492"/>
      <c r="C65" s="493"/>
      <c r="D65" s="519"/>
      <c r="E65" s="517"/>
      <c r="F65" s="518" t="s">
        <v>38</v>
      </c>
      <c r="G65" s="518"/>
      <c r="H65" s="518">
        <f>TRUNC(SUM(H63:H64),2)</f>
        <v>239.32</v>
      </c>
    </row>
    <row r="66" spans="2:8" ht="15.75" customHeight="1" x14ac:dyDescent="0.2">
      <c r="B66" s="512" t="s">
        <v>98</v>
      </c>
      <c r="C66" s="493"/>
      <c r="D66" s="179" t="s">
        <v>396</v>
      </c>
      <c r="E66" s="517"/>
      <c r="F66" s="518"/>
      <c r="G66" s="518"/>
      <c r="H66" s="518"/>
    </row>
    <row r="67" spans="2:8" ht="24" x14ac:dyDescent="0.2">
      <c r="B67" s="512" t="s">
        <v>1020</v>
      </c>
      <c r="C67" s="493" t="s">
        <v>471</v>
      </c>
      <c r="D67" s="339" t="s">
        <v>1582</v>
      </c>
      <c r="E67" s="517" t="s">
        <v>16</v>
      </c>
      <c r="F67" s="518">
        <v>1</v>
      </c>
      <c r="G67" s="518">
        <f>TRUNC(H69,2)</f>
        <v>34.89</v>
      </c>
      <c r="H67" s="518">
        <f>TRUNC(F67*G67,2)</f>
        <v>34.89</v>
      </c>
    </row>
    <row r="68" spans="2:8" x14ac:dyDescent="0.25">
      <c r="B68" s="512"/>
      <c r="C68" s="493" t="s">
        <v>1194</v>
      </c>
      <c r="D68" s="176" t="s">
        <v>470</v>
      </c>
      <c r="E68" s="517" t="s">
        <v>37</v>
      </c>
      <c r="F68" s="518">
        <v>1.2</v>
      </c>
      <c r="G68" s="518">
        <f>TRUNC(29.08,2)</f>
        <v>29.08</v>
      </c>
      <c r="H68" s="518">
        <f>TRUNC(F68*G68,2)</f>
        <v>34.89</v>
      </c>
    </row>
    <row r="69" spans="2:8" x14ac:dyDescent="0.25">
      <c r="B69" s="512"/>
      <c r="C69" s="493"/>
      <c r="D69" s="176"/>
      <c r="E69" s="517"/>
      <c r="F69" s="518" t="s">
        <v>38</v>
      </c>
      <c r="G69" s="518"/>
      <c r="H69" s="518">
        <f>TRUNC(SUM(H68:H68),2)</f>
        <v>34.89</v>
      </c>
    </row>
    <row r="70" spans="2:8" ht="24" customHeight="1" x14ac:dyDescent="0.2">
      <c r="B70" s="512" t="s">
        <v>1021</v>
      </c>
      <c r="C70" s="509" t="s">
        <v>469</v>
      </c>
      <c r="D70" s="339" t="s">
        <v>1583</v>
      </c>
      <c r="E70" s="517" t="s">
        <v>16</v>
      </c>
      <c r="F70" s="518">
        <v>1</v>
      </c>
      <c r="G70" s="518">
        <f>TRUNC(H73,2)</f>
        <v>33.770000000000003</v>
      </c>
      <c r="H70" s="518">
        <f>TRUNC(F70*G70,2)</f>
        <v>33.770000000000003</v>
      </c>
    </row>
    <row r="71" spans="2:8" ht="24" customHeight="1" x14ac:dyDescent="0.25">
      <c r="B71" s="512"/>
      <c r="C71" s="493" t="s">
        <v>35</v>
      </c>
      <c r="D71" s="176" t="s">
        <v>36</v>
      </c>
      <c r="E71" s="517" t="s">
        <v>37</v>
      </c>
      <c r="F71" s="518">
        <v>1.03</v>
      </c>
      <c r="G71" s="518">
        <f>TRUNC(15.09,2)</f>
        <v>15.09</v>
      </c>
      <c r="H71" s="518">
        <f>TRUNC(F71*G71,2)</f>
        <v>15.54</v>
      </c>
    </row>
    <row r="72" spans="2:8" ht="24" customHeight="1" x14ac:dyDescent="0.25">
      <c r="B72" s="512"/>
      <c r="C72" s="493" t="s">
        <v>376</v>
      </c>
      <c r="D72" s="176" t="s">
        <v>377</v>
      </c>
      <c r="E72" s="517" t="s">
        <v>37</v>
      </c>
      <c r="F72" s="518">
        <v>0.87549999999999994</v>
      </c>
      <c r="G72" s="518">
        <f>TRUNC(20.83,2)</f>
        <v>20.83</v>
      </c>
      <c r="H72" s="518">
        <f>TRUNC(F72*G72,2)</f>
        <v>18.23</v>
      </c>
    </row>
    <row r="73" spans="2:8" ht="24" customHeight="1" thickBot="1" x14ac:dyDescent="0.3">
      <c r="B73" s="512"/>
      <c r="C73" s="493"/>
      <c r="D73" s="176"/>
      <c r="E73" s="517"/>
      <c r="F73" s="518" t="s">
        <v>38</v>
      </c>
      <c r="G73" s="518"/>
      <c r="H73" s="518">
        <f>TRUNC(SUM(H71:H72),2)</f>
        <v>33.770000000000003</v>
      </c>
    </row>
    <row r="74" spans="2:8" ht="48" x14ac:dyDescent="0.2">
      <c r="B74" s="524"/>
      <c r="C74" s="509" t="s">
        <v>472</v>
      </c>
      <c r="D74" s="516" t="s">
        <v>540</v>
      </c>
      <c r="E74" s="525" t="s">
        <v>18</v>
      </c>
      <c r="F74" s="526">
        <v>1</v>
      </c>
      <c r="G74" s="526">
        <f>TRUNC(H77,2)</f>
        <v>36.99</v>
      </c>
      <c r="H74" s="527">
        <f>TRUNC(F74*G74,2)</f>
        <v>36.99</v>
      </c>
    </row>
    <row r="75" spans="2:8" ht="23.25" customHeight="1" x14ac:dyDescent="0.2">
      <c r="B75" s="524"/>
      <c r="C75" s="528" t="s">
        <v>35</v>
      </c>
      <c r="D75" s="494" t="s">
        <v>36</v>
      </c>
      <c r="E75" s="517" t="s">
        <v>37</v>
      </c>
      <c r="F75" s="518">
        <v>1.03</v>
      </c>
      <c r="G75" s="518">
        <f>TRUNC(15.09,2)</f>
        <v>15.09</v>
      </c>
      <c r="H75" s="529">
        <f>TRUNC(F75*G75,2)</f>
        <v>15.54</v>
      </c>
    </row>
    <row r="76" spans="2:8" ht="23.25" customHeight="1" x14ac:dyDescent="0.2">
      <c r="B76" s="524"/>
      <c r="C76" s="528" t="s">
        <v>376</v>
      </c>
      <c r="D76" s="494" t="s">
        <v>377</v>
      </c>
      <c r="E76" s="517" t="s">
        <v>37</v>
      </c>
      <c r="F76" s="518">
        <v>1.03</v>
      </c>
      <c r="G76" s="518">
        <f>TRUNC(20.83,2)</f>
        <v>20.83</v>
      </c>
      <c r="H76" s="529">
        <f>TRUNC(F76*G76,2)</f>
        <v>21.45</v>
      </c>
    </row>
    <row r="77" spans="2:8" ht="23.25" customHeight="1" x14ac:dyDescent="0.2">
      <c r="B77" s="524"/>
      <c r="C77" s="528"/>
      <c r="D77" s="494"/>
      <c r="E77" s="517"/>
      <c r="F77" s="518" t="s">
        <v>38</v>
      </c>
      <c r="G77" s="518"/>
      <c r="H77" s="529">
        <f>TRUNC(SUM(H75:H76),2)</f>
        <v>36.99</v>
      </c>
    </row>
    <row r="78" spans="2:8" ht="15.75" customHeight="1" thickBot="1" x14ac:dyDescent="0.35">
      <c r="B78" s="524" t="s">
        <v>1022</v>
      </c>
      <c r="C78" s="530"/>
      <c r="D78" s="531" t="s">
        <v>539</v>
      </c>
      <c r="E78" s="532"/>
      <c r="F78" s="533"/>
      <c r="G78" s="533"/>
      <c r="H78" s="534">
        <v>44.33</v>
      </c>
    </row>
    <row r="79" spans="2:8" ht="24" x14ac:dyDescent="0.2">
      <c r="B79" s="512" t="s">
        <v>1023</v>
      </c>
      <c r="C79" s="493" t="s">
        <v>1195</v>
      </c>
      <c r="D79" s="516" t="s">
        <v>474</v>
      </c>
      <c r="E79" s="517" t="s">
        <v>16</v>
      </c>
      <c r="F79" s="518">
        <v>1</v>
      </c>
      <c r="G79" s="518">
        <f>TRUNC(H82,2)</f>
        <v>9.32</v>
      </c>
      <c r="H79" s="518">
        <f>TRUNC(F79*G79,2)</f>
        <v>9.32</v>
      </c>
    </row>
    <row r="80" spans="2:8" x14ac:dyDescent="0.2">
      <c r="B80" s="512"/>
      <c r="C80" s="493" t="s">
        <v>1184</v>
      </c>
      <c r="D80" s="516" t="s">
        <v>39</v>
      </c>
      <c r="E80" s="517" t="s">
        <v>37</v>
      </c>
      <c r="F80" s="518">
        <v>0.25819999999999999</v>
      </c>
      <c r="G80" s="518">
        <f>TRUNC(21.86,2)</f>
        <v>21.86</v>
      </c>
      <c r="H80" s="518">
        <f>TRUNC(F80*G80,2)</f>
        <v>5.64</v>
      </c>
    </row>
    <row r="81" spans="2:8" x14ac:dyDescent="0.2">
      <c r="B81" s="512"/>
      <c r="C81" s="493" t="s">
        <v>1191</v>
      </c>
      <c r="D81" s="516" t="s">
        <v>47</v>
      </c>
      <c r="E81" s="517" t="s">
        <v>37</v>
      </c>
      <c r="F81" s="518">
        <v>0.13150000000000001</v>
      </c>
      <c r="G81" s="518">
        <f>TRUNC(28,2)</f>
        <v>28</v>
      </c>
      <c r="H81" s="518">
        <f>TRUNC(F81*G81,2)</f>
        <v>3.68</v>
      </c>
    </row>
    <row r="82" spans="2:8" x14ac:dyDescent="0.2">
      <c r="B82" s="512"/>
      <c r="C82" s="493"/>
      <c r="D82" s="516"/>
      <c r="E82" s="517"/>
      <c r="F82" s="518" t="s">
        <v>38</v>
      </c>
      <c r="G82" s="518"/>
      <c r="H82" s="518">
        <f>TRUNC(SUM(H80:H81),2)</f>
        <v>9.32</v>
      </c>
    </row>
    <row r="83" spans="2:8" ht="24" x14ac:dyDescent="0.2">
      <c r="B83" s="512" t="s">
        <v>1024</v>
      </c>
      <c r="C83" s="493" t="s">
        <v>1196</v>
      </c>
      <c r="D83" s="516" t="s">
        <v>476</v>
      </c>
      <c r="E83" s="517" t="s">
        <v>16</v>
      </c>
      <c r="F83" s="518">
        <v>1</v>
      </c>
      <c r="G83" s="518">
        <f>TRUNC(26.859888,2)</f>
        <v>26.85</v>
      </c>
      <c r="H83" s="518">
        <f>TRUNC(F83*G83,2)</f>
        <v>26.85</v>
      </c>
    </row>
    <row r="84" spans="2:8" ht="24" x14ac:dyDescent="0.2">
      <c r="B84" s="512"/>
      <c r="C84" s="493" t="s">
        <v>1197</v>
      </c>
      <c r="D84" s="516" t="s">
        <v>477</v>
      </c>
      <c r="E84" s="517" t="s">
        <v>23</v>
      </c>
      <c r="F84" s="518">
        <v>9.8400000000000001E-2</v>
      </c>
      <c r="G84" s="518">
        <f>TRUNC(10.33,2)</f>
        <v>10.33</v>
      </c>
      <c r="H84" s="518">
        <f>TRUNC(F84*G84,2)</f>
        <v>1.01</v>
      </c>
    </row>
    <row r="85" spans="2:8" x14ac:dyDescent="0.2">
      <c r="B85" s="512"/>
      <c r="C85" s="493" t="s">
        <v>1184</v>
      </c>
      <c r="D85" s="516" t="s">
        <v>39</v>
      </c>
      <c r="E85" s="517" t="s">
        <v>37</v>
      </c>
      <c r="F85" s="518">
        <v>0.71560000000000001</v>
      </c>
      <c r="G85" s="518">
        <f>TRUNC(21.86,2)</f>
        <v>21.86</v>
      </c>
      <c r="H85" s="518">
        <f>TRUNC(F85*G85,2)</f>
        <v>15.64</v>
      </c>
    </row>
    <row r="86" spans="2:8" x14ac:dyDescent="0.2">
      <c r="B86" s="512"/>
      <c r="C86" s="493" t="s">
        <v>1191</v>
      </c>
      <c r="D86" s="516" t="s">
        <v>47</v>
      </c>
      <c r="E86" s="517" t="s">
        <v>37</v>
      </c>
      <c r="F86" s="518">
        <v>0.36430000000000001</v>
      </c>
      <c r="G86" s="518">
        <f>TRUNC(28,2)</f>
        <v>28</v>
      </c>
      <c r="H86" s="518">
        <f>TRUNC(F86*G86,2)</f>
        <v>10.199999999999999</v>
      </c>
    </row>
    <row r="87" spans="2:8" x14ac:dyDescent="0.2">
      <c r="B87" s="512"/>
      <c r="C87" s="493"/>
      <c r="D87" s="516"/>
      <c r="E87" s="517"/>
      <c r="F87" s="518" t="s">
        <v>38</v>
      </c>
      <c r="G87" s="518"/>
      <c r="H87" s="518">
        <f>TRUNC(SUM(H84:H86),2)</f>
        <v>26.85</v>
      </c>
    </row>
    <row r="88" spans="2:8" ht="24" x14ac:dyDescent="0.2">
      <c r="B88" s="512" t="s">
        <v>1025</v>
      </c>
      <c r="C88" s="493" t="s">
        <v>478</v>
      </c>
      <c r="D88" s="516" t="s">
        <v>1584</v>
      </c>
      <c r="E88" s="517" t="s">
        <v>16</v>
      </c>
      <c r="F88" s="518">
        <v>1</v>
      </c>
      <c r="G88" s="518">
        <f>TRUNC(H92,2)</f>
        <v>26.85</v>
      </c>
      <c r="H88" s="518">
        <f>TRUNC(F88*G88,2)</f>
        <v>26.85</v>
      </c>
    </row>
    <row r="89" spans="2:8" ht="24" x14ac:dyDescent="0.2">
      <c r="B89" s="512"/>
      <c r="C89" s="493" t="s">
        <v>1197</v>
      </c>
      <c r="D89" s="516" t="s">
        <v>477</v>
      </c>
      <c r="E89" s="517" t="s">
        <v>23</v>
      </c>
      <c r="F89" s="518">
        <v>9.8400000000000001E-2</v>
      </c>
      <c r="G89" s="518">
        <f>TRUNC(10.33,2)</f>
        <v>10.33</v>
      </c>
      <c r="H89" s="518">
        <f>TRUNC(F89*G89,2)</f>
        <v>1.01</v>
      </c>
    </row>
    <row r="90" spans="2:8" x14ac:dyDescent="0.2">
      <c r="B90" s="512"/>
      <c r="C90" s="493" t="s">
        <v>1184</v>
      </c>
      <c r="D90" s="516" t="s">
        <v>39</v>
      </c>
      <c r="E90" s="517" t="s">
        <v>37</v>
      </c>
      <c r="F90" s="518">
        <v>0.71560000000000001</v>
      </c>
      <c r="G90" s="518">
        <f>TRUNC(21.86,2)</f>
        <v>21.86</v>
      </c>
      <c r="H90" s="518">
        <f>TRUNC(F90*G90,2)</f>
        <v>15.64</v>
      </c>
    </row>
    <row r="91" spans="2:8" x14ac:dyDescent="0.2">
      <c r="B91" s="512"/>
      <c r="C91" s="493" t="s">
        <v>1191</v>
      </c>
      <c r="D91" s="516" t="s">
        <v>47</v>
      </c>
      <c r="E91" s="517" t="s">
        <v>37</v>
      </c>
      <c r="F91" s="518">
        <v>0.36430000000000001</v>
      </c>
      <c r="G91" s="518">
        <f>TRUNC(28,2)</f>
        <v>28</v>
      </c>
      <c r="H91" s="518">
        <f>TRUNC(F91*G91,2)</f>
        <v>10.199999999999999</v>
      </c>
    </row>
    <row r="92" spans="2:8" x14ac:dyDescent="0.2">
      <c r="B92" s="512"/>
      <c r="C92" s="493"/>
      <c r="D92" s="516"/>
      <c r="E92" s="517"/>
      <c r="F92" s="518" t="s">
        <v>38</v>
      </c>
      <c r="G92" s="518"/>
      <c r="H92" s="518">
        <f>TRUNC(SUM(H89:H91),2)</f>
        <v>26.85</v>
      </c>
    </row>
    <row r="93" spans="2:8" ht="24" x14ac:dyDescent="0.2">
      <c r="B93" s="512" t="s">
        <v>1026</v>
      </c>
      <c r="C93" s="493" t="s">
        <v>479</v>
      </c>
      <c r="D93" s="516" t="s">
        <v>480</v>
      </c>
      <c r="E93" s="517" t="s">
        <v>18</v>
      </c>
      <c r="F93" s="518">
        <v>1</v>
      </c>
      <c r="G93" s="518">
        <f>TRUNC(H95,2)</f>
        <v>53.63</v>
      </c>
      <c r="H93" s="518">
        <f>TRUNC(F93*G93,2)</f>
        <v>53.63</v>
      </c>
    </row>
    <row r="94" spans="2:8" ht="24" x14ac:dyDescent="0.2">
      <c r="B94" s="512"/>
      <c r="C94" s="493" t="s">
        <v>376</v>
      </c>
      <c r="D94" s="516" t="s">
        <v>377</v>
      </c>
      <c r="E94" s="517" t="s">
        <v>37</v>
      </c>
      <c r="F94" s="518">
        <v>2.5750000000000002</v>
      </c>
      <c r="G94" s="518">
        <f>TRUNC(20.83,2)</f>
        <v>20.83</v>
      </c>
      <c r="H94" s="518">
        <f>TRUNC(F94*G94,2)</f>
        <v>53.63</v>
      </c>
    </row>
    <row r="95" spans="2:8" x14ac:dyDescent="0.2">
      <c r="B95" s="512"/>
      <c r="C95" s="493"/>
      <c r="D95" s="516"/>
      <c r="E95" s="517"/>
      <c r="F95" s="518" t="s">
        <v>38</v>
      </c>
      <c r="G95" s="518"/>
      <c r="H95" s="518">
        <f>TRUNC(SUM(H94:H94),2)</f>
        <v>53.63</v>
      </c>
    </row>
    <row r="96" spans="2:8" ht="24" x14ac:dyDescent="0.2">
      <c r="B96" s="512" t="s">
        <v>1027</v>
      </c>
      <c r="C96" s="493" t="s">
        <v>1198</v>
      </c>
      <c r="D96" s="516" t="s">
        <v>482</v>
      </c>
      <c r="E96" s="517" t="s">
        <v>22</v>
      </c>
      <c r="F96" s="518">
        <v>1</v>
      </c>
      <c r="G96" s="518">
        <f>TRUNC(H99,2)</f>
        <v>8.9700000000000006</v>
      </c>
      <c r="H96" s="518">
        <f>TRUNC(F96*G96,2)</f>
        <v>8.9700000000000006</v>
      </c>
    </row>
    <row r="97" spans="2:8" x14ac:dyDescent="0.2">
      <c r="B97" s="512"/>
      <c r="C97" s="493" t="s">
        <v>1184</v>
      </c>
      <c r="D97" s="516" t="s">
        <v>39</v>
      </c>
      <c r="E97" s="517" t="s">
        <v>37</v>
      </c>
      <c r="F97" s="518">
        <v>0.25140000000000001</v>
      </c>
      <c r="G97" s="518">
        <f>TRUNC(21.86,2)</f>
        <v>21.86</v>
      </c>
      <c r="H97" s="518">
        <f>TRUNC(F97*G97,2)</f>
        <v>5.49</v>
      </c>
    </row>
    <row r="98" spans="2:8" ht="24" x14ac:dyDescent="0.2">
      <c r="B98" s="512"/>
      <c r="C98" s="493" t="s">
        <v>1199</v>
      </c>
      <c r="D98" s="516" t="s">
        <v>224</v>
      </c>
      <c r="E98" s="517" t="s">
        <v>37</v>
      </c>
      <c r="F98" s="518">
        <v>0.128</v>
      </c>
      <c r="G98" s="518">
        <f>TRUNC(27.24,2)</f>
        <v>27.24</v>
      </c>
      <c r="H98" s="518">
        <f>TRUNC(F98*G98,2)</f>
        <v>3.48</v>
      </c>
    </row>
    <row r="99" spans="2:8" x14ac:dyDescent="0.2">
      <c r="B99" s="512"/>
      <c r="C99" s="493"/>
      <c r="D99" s="516"/>
      <c r="E99" s="517"/>
      <c r="F99" s="518" t="s">
        <v>38</v>
      </c>
      <c r="G99" s="518"/>
      <c r="H99" s="518">
        <f>TRUNC(SUM(H97:H98),2)</f>
        <v>8.9700000000000006</v>
      </c>
    </row>
    <row r="100" spans="2:8" ht="24" x14ac:dyDescent="0.2">
      <c r="B100" s="512" t="s">
        <v>1028</v>
      </c>
      <c r="C100" s="493" t="s">
        <v>1200</v>
      </c>
      <c r="D100" s="516" t="s">
        <v>484</v>
      </c>
      <c r="E100" s="517" t="s">
        <v>22</v>
      </c>
      <c r="F100" s="518">
        <v>1</v>
      </c>
      <c r="G100" s="518">
        <f>TRUNC(H103,2)</f>
        <v>12.31</v>
      </c>
      <c r="H100" s="518">
        <f>TRUNC(F100*G100,2)</f>
        <v>12.31</v>
      </c>
    </row>
    <row r="101" spans="2:8" x14ac:dyDescent="0.2">
      <c r="B101" s="512"/>
      <c r="C101" s="493" t="s">
        <v>1184</v>
      </c>
      <c r="D101" s="516" t="s">
        <v>39</v>
      </c>
      <c r="E101" s="517" t="s">
        <v>37</v>
      </c>
      <c r="F101" s="518">
        <v>0.3448</v>
      </c>
      <c r="G101" s="518">
        <f>TRUNC(21.86,2)</f>
        <v>21.86</v>
      </c>
      <c r="H101" s="518">
        <f>TRUNC(F101*G101,2)</f>
        <v>7.53</v>
      </c>
    </row>
    <row r="102" spans="2:8" ht="24" x14ac:dyDescent="0.2">
      <c r="B102" s="512"/>
      <c r="C102" s="493" t="s">
        <v>1199</v>
      </c>
      <c r="D102" s="516" t="s">
        <v>224</v>
      </c>
      <c r="E102" s="517" t="s">
        <v>37</v>
      </c>
      <c r="F102" s="518">
        <v>0.17549999999999999</v>
      </c>
      <c r="G102" s="518">
        <f>TRUNC(27.24,2)</f>
        <v>27.24</v>
      </c>
      <c r="H102" s="518">
        <f>TRUNC(F102*G102,2)</f>
        <v>4.78</v>
      </c>
    </row>
    <row r="103" spans="2:8" x14ac:dyDescent="0.2">
      <c r="B103" s="512"/>
      <c r="C103" s="493"/>
      <c r="D103" s="516"/>
      <c r="E103" s="517"/>
      <c r="F103" s="518" t="s">
        <v>38</v>
      </c>
      <c r="G103" s="518"/>
      <c r="H103" s="518">
        <f>TRUNC(SUM(H101:H102),2)</f>
        <v>12.31</v>
      </c>
    </row>
    <row r="104" spans="2:8" ht="36" x14ac:dyDescent="0.2">
      <c r="B104" s="512" t="s">
        <v>1029</v>
      </c>
      <c r="C104" s="493" t="s">
        <v>1201</v>
      </c>
      <c r="D104" s="516" t="s">
        <v>486</v>
      </c>
      <c r="E104" s="517" t="s">
        <v>22</v>
      </c>
      <c r="F104" s="518">
        <v>1</v>
      </c>
      <c r="G104" s="518">
        <f>TRUNC(H107,2)</f>
        <v>0.66</v>
      </c>
      <c r="H104" s="518">
        <f>TRUNC(F104*G104,2)</f>
        <v>0.66</v>
      </c>
    </row>
    <row r="105" spans="2:8" x14ac:dyDescent="0.2">
      <c r="B105" s="512"/>
      <c r="C105" s="493" t="s">
        <v>1184</v>
      </c>
      <c r="D105" s="516" t="s">
        <v>39</v>
      </c>
      <c r="E105" s="517" t="s">
        <v>37</v>
      </c>
      <c r="F105" s="518">
        <v>1.8700000000000001E-2</v>
      </c>
      <c r="G105" s="518">
        <f>TRUNC(21.86,2)</f>
        <v>21.86</v>
      </c>
      <c r="H105" s="518">
        <f>TRUNC(F105*G105,2)</f>
        <v>0.4</v>
      </c>
    </row>
    <row r="106" spans="2:8" x14ac:dyDescent="0.2">
      <c r="B106" s="512"/>
      <c r="C106" s="493" t="s">
        <v>1202</v>
      </c>
      <c r="D106" s="516" t="s">
        <v>49</v>
      </c>
      <c r="E106" s="517" t="s">
        <v>37</v>
      </c>
      <c r="F106" s="518">
        <v>9.4999999999999998E-3</v>
      </c>
      <c r="G106" s="518">
        <f>TRUNC(27.97,2)</f>
        <v>27.97</v>
      </c>
      <c r="H106" s="518">
        <f>TRUNC(F106*G106,2)</f>
        <v>0.26</v>
      </c>
    </row>
    <row r="107" spans="2:8" x14ac:dyDescent="0.2">
      <c r="B107" s="512"/>
      <c r="C107" s="493"/>
      <c r="D107" s="516"/>
      <c r="E107" s="517"/>
      <c r="F107" s="518" t="s">
        <v>38</v>
      </c>
      <c r="G107" s="518"/>
      <c r="H107" s="518">
        <f>TRUNC(SUM(H105:H106),2)</f>
        <v>0.66</v>
      </c>
    </row>
    <row r="108" spans="2:8" ht="24" x14ac:dyDescent="0.2">
      <c r="B108" s="512" t="s">
        <v>1030</v>
      </c>
      <c r="C108" s="493" t="s">
        <v>1203</v>
      </c>
      <c r="D108" s="516" t="s">
        <v>488</v>
      </c>
      <c r="E108" s="517" t="s">
        <v>22</v>
      </c>
      <c r="F108" s="518">
        <v>1</v>
      </c>
      <c r="G108" s="518">
        <f>TRUNC(H111,2)</f>
        <v>1.29</v>
      </c>
      <c r="H108" s="518">
        <f>TRUNC(F108*G108,2)</f>
        <v>1.29</v>
      </c>
    </row>
    <row r="109" spans="2:8" x14ac:dyDescent="0.2">
      <c r="B109" s="512"/>
      <c r="C109" s="493" t="s">
        <v>1184</v>
      </c>
      <c r="D109" s="516" t="s">
        <v>39</v>
      </c>
      <c r="E109" s="517" t="s">
        <v>37</v>
      </c>
      <c r="F109" s="518">
        <v>3.5900000000000001E-2</v>
      </c>
      <c r="G109" s="518">
        <f>TRUNC(21.86,2)</f>
        <v>21.86</v>
      </c>
      <c r="H109" s="518">
        <f>TRUNC(F109*G109,2)</f>
        <v>0.78</v>
      </c>
    </row>
    <row r="110" spans="2:8" x14ac:dyDescent="0.2">
      <c r="B110" s="512"/>
      <c r="C110" s="493" t="s">
        <v>1202</v>
      </c>
      <c r="D110" s="516" t="s">
        <v>49</v>
      </c>
      <c r="E110" s="517" t="s">
        <v>37</v>
      </c>
      <c r="F110" s="518">
        <v>1.83E-2</v>
      </c>
      <c r="G110" s="518">
        <f>TRUNC(27.97,2)</f>
        <v>27.97</v>
      </c>
      <c r="H110" s="518">
        <f>TRUNC(F110*G110,2)</f>
        <v>0.51</v>
      </c>
    </row>
    <row r="111" spans="2:8" x14ac:dyDescent="0.2">
      <c r="B111" s="512"/>
      <c r="C111" s="493"/>
      <c r="D111" s="516"/>
      <c r="E111" s="517"/>
      <c r="F111" s="518" t="s">
        <v>38</v>
      </c>
      <c r="G111" s="518"/>
      <c r="H111" s="518">
        <f>TRUNC(SUM(H109:H110),2)</f>
        <v>1.29</v>
      </c>
    </row>
    <row r="112" spans="2:8" ht="24" customHeight="1" x14ac:dyDescent="0.2">
      <c r="B112" s="512" t="s">
        <v>1031</v>
      </c>
      <c r="C112" s="493" t="s">
        <v>1610</v>
      </c>
      <c r="D112" s="516" t="s">
        <v>488</v>
      </c>
      <c r="E112" s="517" t="s">
        <v>22</v>
      </c>
      <c r="F112" s="518">
        <v>1</v>
      </c>
      <c r="G112" s="518">
        <f>TRUNC(H115,2)</f>
        <v>24.91</v>
      </c>
      <c r="H112" s="518">
        <f>TRUNC(F112*G112,2)</f>
        <v>24.91</v>
      </c>
    </row>
    <row r="113" spans="2:8" ht="24" customHeight="1" x14ac:dyDescent="0.2">
      <c r="B113" s="512"/>
      <c r="C113" s="493" t="s">
        <v>1184</v>
      </c>
      <c r="D113" s="516" t="s">
        <v>39</v>
      </c>
      <c r="E113" s="517" t="s">
        <v>37</v>
      </c>
      <c r="F113" s="518">
        <v>0.5</v>
      </c>
      <c r="G113" s="518">
        <f>TRUNC(21.86,2)</f>
        <v>21.86</v>
      </c>
      <c r="H113" s="518">
        <f>TRUNC(F113*G113,2)</f>
        <v>10.93</v>
      </c>
    </row>
    <row r="114" spans="2:8" ht="24" customHeight="1" x14ac:dyDescent="0.2">
      <c r="B114" s="512"/>
      <c r="C114" s="493" t="s">
        <v>1202</v>
      </c>
      <c r="D114" s="516" t="s">
        <v>49</v>
      </c>
      <c r="E114" s="517" t="s">
        <v>37</v>
      </c>
      <c r="F114" s="518">
        <v>0.5</v>
      </c>
      <c r="G114" s="518">
        <f>TRUNC(27.97,2)</f>
        <v>27.97</v>
      </c>
      <c r="H114" s="518">
        <f>TRUNC(F114*G114,2)</f>
        <v>13.98</v>
      </c>
    </row>
    <row r="115" spans="2:8" ht="24" customHeight="1" x14ac:dyDescent="0.2">
      <c r="B115" s="512"/>
      <c r="C115" s="493"/>
      <c r="D115" s="516"/>
      <c r="E115" s="517"/>
      <c r="F115" s="518" t="s">
        <v>38</v>
      </c>
      <c r="G115" s="518"/>
      <c r="H115" s="518">
        <f>TRUNC(SUM(H113:H114),2)</f>
        <v>24.91</v>
      </c>
    </row>
    <row r="116" spans="2:8" ht="24" x14ac:dyDescent="0.2">
      <c r="B116" s="512" t="s">
        <v>1032</v>
      </c>
      <c r="C116" s="493" t="s">
        <v>1204</v>
      </c>
      <c r="D116" s="516" t="s">
        <v>20</v>
      </c>
      <c r="E116" s="517" t="s">
        <v>19</v>
      </c>
      <c r="F116" s="518">
        <v>1</v>
      </c>
      <c r="G116" s="518">
        <f>TRUNC(H119,2)</f>
        <v>25.09</v>
      </c>
      <c r="H116" s="518">
        <f>TRUNC(F116*G116,2)</f>
        <v>25.09</v>
      </c>
    </row>
    <row r="117" spans="2:8" x14ac:dyDescent="0.2">
      <c r="B117" s="512"/>
      <c r="C117" s="493" t="s">
        <v>1184</v>
      </c>
      <c r="D117" s="516" t="s">
        <v>39</v>
      </c>
      <c r="E117" s="517" t="s">
        <v>37</v>
      </c>
      <c r="F117" s="518">
        <v>0.7</v>
      </c>
      <c r="G117" s="518">
        <f>TRUNC(21.86,2)</f>
        <v>21.86</v>
      </c>
      <c r="H117" s="518">
        <f>TRUNC(F117*G117,2)</f>
        <v>15.3</v>
      </c>
    </row>
    <row r="118" spans="2:8" ht="60" x14ac:dyDescent="0.2">
      <c r="B118" s="512"/>
      <c r="C118" s="493" t="s">
        <v>1205</v>
      </c>
      <c r="D118" s="516" t="s">
        <v>1206</v>
      </c>
      <c r="E118" s="517" t="s">
        <v>40</v>
      </c>
      <c r="F118" s="518">
        <v>0.25</v>
      </c>
      <c r="G118" s="518">
        <f>TRUNC(39.19,2)</f>
        <v>39.19</v>
      </c>
      <c r="H118" s="518">
        <f>TRUNC(F118*G118,2)</f>
        <v>9.7899999999999991</v>
      </c>
    </row>
    <row r="119" spans="2:8" x14ac:dyDescent="0.2">
      <c r="B119" s="512"/>
      <c r="C119" s="493"/>
      <c r="D119" s="516"/>
      <c r="E119" s="517"/>
      <c r="F119" s="518" t="s">
        <v>38</v>
      </c>
      <c r="G119" s="518"/>
      <c r="H119" s="518">
        <f>TRUNC(SUM(H117:H118),2)</f>
        <v>25.09</v>
      </c>
    </row>
    <row r="120" spans="2:8" ht="23.25" customHeight="1" x14ac:dyDescent="0.2">
      <c r="B120" s="512" t="s">
        <v>1033</v>
      </c>
      <c r="C120" s="493" t="s">
        <v>1207</v>
      </c>
      <c r="D120" s="516" t="s">
        <v>97</v>
      </c>
      <c r="E120" s="517" t="s">
        <v>21</v>
      </c>
      <c r="F120" s="518">
        <v>1</v>
      </c>
      <c r="G120" s="518">
        <f>TRUNC(H123,2)</f>
        <v>1.61</v>
      </c>
      <c r="H120" s="518">
        <f>TRUNC(F120*G120,2)</f>
        <v>1.61</v>
      </c>
    </row>
    <row r="121" spans="2:8" ht="23.25" customHeight="1" x14ac:dyDescent="0.2">
      <c r="B121" s="512"/>
      <c r="C121" s="493" t="s">
        <v>1208</v>
      </c>
      <c r="D121" s="516" t="s">
        <v>1209</v>
      </c>
      <c r="E121" s="517" t="s">
        <v>40</v>
      </c>
      <c r="F121" s="518">
        <v>2.5999999999999999E-3</v>
      </c>
      <c r="G121" s="518">
        <f>TRUNC(38.53,2)</f>
        <v>38.53</v>
      </c>
      <c r="H121" s="518">
        <f>TRUNC(F121*G121,2)</f>
        <v>0.1</v>
      </c>
    </row>
    <row r="122" spans="2:8" ht="23.25" customHeight="1" x14ac:dyDescent="0.2">
      <c r="B122" s="512"/>
      <c r="C122" s="493" t="s">
        <v>1210</v>
      </c>
      <c r="D122" s="516" t="s">
        <v>1211</v>
      </c>
      <c r="E122" s="517" t="s">
        <v>41</v>
      </c>
      <c r="F122" s="518">
        <v>1.042E-2</v>
      </c>
      <c r="G122" s="518">
        <f>TRUNC(145.45,2)</f>
        <v>145.44999999999999</v>
      </c>
      <c r="H122" s="518">
        <f>TRUNC(F122*G122,2)</f>
        <v>1.51</v>
      </c>
    </row>
    <row r="123" spans="2:8" ht="23.25" customHeight="1" thickBot="1" x14ac:dyDescent="0.25">
      <c r="B123" s="512"/>
      <c r="C123" s="493"/>
      <c r="D123" s="516"/>
      <c r="E123" s="517"/>
      <c r="F123" s="518" t="s">
        <v>38</v>
      </c>
      <c r="G123" s="518"/>
      <c r="H123" s="518">
        <f>TRUNC(SUM(H121:H122),2)</f>
        <v>1.61</v>
      </c>
    </row>
    <row r="124" spans="2:8" ht="24" x14ac:dyDescent="0.2">
      <c r="B124" s="524"/>
      <c r="C124" s="536" t="s">
        <v>1204</v>
      </c>
      <c r="D124" s="537" t="s">
        <v>20</v>
      </c>
      <c r="E124" s="525" t="s">
        <v>19</v>
      </c>
      <c r="F124" s="526">
        <v>1</v>
      </c>
      <c r="G124" s="526">
        <f>TRUNC(H127,2)</f>
        <v>25.09</v>
      </c>
      <c r="H124" s="527">
        <f>TRUNC(F124*G124,2)</f>
        <v>25.09</v>
      </c>
    </row>
    <row r="125" spans="2:8" x14ac:dyDescent="0.2">
      <c r="B125" s="524"/>
      <c r="C125" s="528" t="s">
        <v>1184</v>
      </c>
      <c r="D125" s="494" t="s">
        <v>39</v>
      </c>
      <c r="E125" s="517" t="s">
        <v>37</v>
      </c>
      <c r="F125" s="518">
        <v>0.7</v>
      </c>
      <c r="G125" s="518">
        <f>TRUNC(21.86,2)</f>
        <v>21.86</v>
      </c>
      <c r="H125" s="529">
        <f>TRUNC(F125*G125,2)</f>
        <v>15.3</v>
      </c>
    </row>
    <row r="126" spans="2:8" ht="60" x14ac:dyDescent="0.2">
      <c r="B126" s="524"/>
      <c r="C126" s="528" t="s">
        <v>1205</v>
      </c>
      <c r="D126" s="494" t="s">
        <v>1206</v>
      </c>
      <c r="E126" s="517" t="s">
        <v>40</v>
      </c>
      <c r="F126" s="518">
        <v>0.25</v>
      </c>
      <c r="G126" s="518">
        <f>TRUNC(39.19,2)</f>
        <v>39.19</v>
      </c>
      <c r="H126" s="529">
        <f>TRUNC(F126*G126,2)</f>
        <v>9.7899999999999991</v>
      </c>
    </row>
    <row r="127" spans="2:8" x14ac:dyDescent="0.2">
      <c r="B127" s="524"/>
      <c r="C127" s="528"/>
      <c r="D127" s="494"/>
      <c r="E127" s="517"/>
      <c r="F127" s="518" t="s">
        <v>38</v>
      </c>
      <c r="G127" s="518"/>
      <c r="H127" s="529">
        <f>TRUNC(SUM(H125:H126),2)</f>
        <v>25.09</v>
      </c>
    </row>
    <row r="128" spans="2:8" ht="15.75" customHeight="1" thickBot="1" x14ac:dyDescent="0.25">
      <c r="B128" s="538" t="s">
        <v>1034</v>
      </c>
      <c r="C128" s="374"/>
      <c r="D128" s="762" t="s">
        <v>496</v>
      </c>
      <c r="E128" s="759"/>
      <c r="F128" s="759"/>
      <c r="G128" s="759"/>
      <c r="H128" s="539">
        <f>H127/2</f>
        <v>12.545</v>
      </c>
    </row>
    <row r="129" spans="2:8" s="1" customFormat="1" ht="12" customHeight="1" x14ac:dyDescent="0.25">
      <c r="B129" s="508"/>
      <c r="C129" s="280"/>
      <c r="D129" s="540"/>
      <c r="E129" s="281"/>
      <c r="F129" s="281"/>
      <c r="G129" s="281"/>
      <c r="H129" s="541"/>
    </row>
    <row r="130" spans="2:8" ht="12" customHeight="1" x14ac:dyDescent="0.2">
      <c r="B130" s="508" t="s">
        <v>99</v>
      </c>
      <c r="C130" s="224"/>
      <c r="D130" s="542" t="s">
        <v>514</v>
      </c>
      <c r="E130" s="258"/>
      <c r="F130" s="258"/>
      <c r="G130" s="258"/>
      <c r="H130" s="543"/>
    </row>
    <row r="131" spans="2:8" ht="84" x14ac:dyDescent="0.2">
      <c r="B131" s="508" t="s">
        <v>1035</v>
      </c>
      <c r="C131" s="224" t="s">
        <v>613</v>
      </c>
      <c r="D131" s="516" t="s">
        <v>614</v>
      </c>
      <c r="E131" s="258" t="s">
        <v>16</v>
      </c>
      <c r="F131" s="258">
        <v>1</v>
      </c>
      <c r="G131" s="375">
        <f>TRUNC(H136,2)</f>
        <v>50.19</v>
      </c>
      <c r="H131" s="543">
        <f>TRUNC(F131*G131,2)</f>
        <v>50.19</v>
      </c>
    </row>
    <row r="132" spans="2:8" x14ac:dyDescent="0.2">
      <c r="B132" s="508"/>
      <c r="C132" s="224" t="s">
        <v>43</v>
      </c>
      <c r="D132" s="516" t="s">
        <v>44</v>
      </c>
      <c r="E132" s="258" t="s">
        <v>22</v>
      </c>
      <c r="F132" s="258">
        <v>27</v>
      </c>
      <c r="G132" s="258">
        <f>TRUNC(0.48,2)</f>
        <v>0.48</v>
      </c>
      <c r="H132" s="543">
        <f>TRUNC(F132*G132,2)</f>
        <v>12.96</v>
      </c>
    </row>
    <row r="133" spans="2:8" ht="24" x14ac:dyDescent="0.2">
      <c r="B133" s="508"/>
      <c r="C133" s="224" t="s">
        <v>35</v>
      </c>
      <c r="D133" s="516" t="s">
        <v>36</v>
      </c>
      <c r="E133" s="258" t="s">
        <v>37</v>
      </c>
      <c r="F133" s="258">
        <v>0.58709999999999996</v>
      </c>
      <c r="G133" s="258">
        <f>TRUNC(15.09,2)</f>
        <v>15.09</v>
      </c>
      <c r="H133" s="543">
        <f>TRUNC(F133*G133,2)</f>
        <v>8.85</v>
      </c>
    </row>
    <row r="134" spans="2:8" ht="24" x14ac:dyDescent="0.2">
      <c r="B134" s="508"/>
      <c r="C134" s="224" t="s">
        <v>376</v>
      </c>
      <c r="D134" s="516" t="s">
        <v>377</v>
      </c>
      <c r="E134" s="258" t="s">
        <v>37</v>
      </c>
      <c r="F134" s="258">
        <v>1.1536000000000002</v>
      </c>
      <c r="G134" s="258">
        <f>TRUNC(20.83,2)</f>
        <v>20.83</v>
      </c>
      <c r="H134" s="543">
        <f>TRUNC(F134*G134,2)</f>
        <v>24.02</v>
      </c>
    </row>
    <row r="135" spans="2:8" ht="24" x14ac:dyDescent="0.2">
      <c r="B135" s="508"/>
      <c r="C135" s="224" t="s">
        <v>615</v>
      </c>
      <c r="D135" s="516" t="s">
        <v>616</v>
      </c>
      <c r="E135" s="258" t="s">
        <v>19</v>
      </c>
      <c r="F135" s="258">
        <v>1.4999999999999999E-2</v>
      </c>
      <c r="G135" s="258">
        <f>TRUNC(291.3115,2)</f>
        <v>291.31</v>
      </c>
      <c r="H135" s="543">
        <f>TRUNC(F135*G135,2)</f>
        <v>4.3600000000000003</v>
      </c>
    </row>
    <row r="136" spans="2:8" x14ac:dyDescent="0.2">
      <c r="B136" s="508"/>
      <c r="C136" s="224"/>
      <c r="D136" s="516"/>
      <c r="E136" s="258"/>
      <c r="F136" s="258" t="s">
        <v>38</v>
      </c>
      <c r="G136" s="258"/>
      <c r="H136" s="543">
        <f>TRUNC(SUM(H132:H135),2)</f>
        <v>50.19</v>
      </c>
    </row>
    <row r="137" spans="2:8" ht="72" x14ac:dyDescent="0.2">
      <c r="B137" s="508" t="s">
        <v>1036</v>
      </c>
      <c r="C137" s="224" t="s">
        <v>620</v>
      </c>
      <c r="D137" s="516" t="s">
        <v>1585</v>
      </c>
      <c r="E137" s="258" t="s">
        <v>16</v>
      </c>
      <c r="F137" s="258">
        <v>1</v>
      </c>
      <c r="G137" s="375">
        <f>TRUNC(H142,2)</f>
        <v>342.76</v>
      </c>
      <c r="H137" s="543">
        <f>TRUNC(F137*G137,2)</f>
        <v>342.76</v>
      </c>
    </row>
    <row r="138" spans="2:8" ht="24" x14ac:dyDescent="0.2">
      <c r="B138" s="508"/>
      <c r="C138" s="224" t="s">
        <v>617</v>
      </c>
      <c r="D138" s="516" t="s">
        <v>618</v>
      </c>
      <c r="E138" s="258" t="s">
        <v>16</v>
      </c>
      <c r="F138" s="258">
        <v>1</v>
      </c>
      <c r="G138" s="375">
        <f>TRUNC(189.11,2)</f>
        <v>189.11</v>
      </c>
      <c r="H138" s="543">
        <f>TRUNC(F138*G138,2)</f>
        <v>189.11</v>
      </c>
    </row>
    <row r="139" spans="2:8" ht="24" x14ac:dyDescent="0.2">
      <c r="B139" s="508"/>
      <c r="C139" s="224" t="s">
        <v>35</v>
      </c>
      <c r="D139" s="516" t="s">
        <v>36</v>
      </c>
      <c r="E139" s="258" t="s">
        <v>37</v>
      </c>
      <c r="F139" s="258">
        <v>4.12</v>
      </c>
      <c r="G139" s="375">
        <f>TRUNC(15.09,2)</f>
        <v>15.09</v>
      </c>
      <c r="H139" s="543">
        <f>TRUNC(F139*G139,2)</f>
        <v>62.17</v>
      </c>
    </row>
    <row r="140" spans="2:8" ht="12" customHeight="1" x14ac:dyDescent="0.2">
      <c r="B140" s="508"/>
      <c r="C140" s="224" t="s">
        <v>51</v>
      </c>
      <c r="D140" s="516" t="s">
        <v>619</v>
      </c>
      <c r="E140" s="258" t="s">
        <v>382</v>
      </c>
      <c r="F140" s="258">
        <v>1.85</v>
      </c>
      <c r="G140" s="258">
        <v>26.26</v>
      </c>
      <c r="H140" s="543">
        <f>TRUNC(F140*G140,2)</f>
        <v>48.58</v>
      </c>
    </row>
    <row r="141" spans="2:8" ht="24" x14ac:dyDescent="0.2">
      <c r="B141" s="508"/>
      <c r="C141" s="224" t="s">
        <v>376</v>
      </c>
      <c r="D141" s="516" t="s">
        <v>377</v>
      </c>
      <c r="E141" s="258" t="s">
        <v>37</v>
      </c>
      <c r="F141" s="258">
        <v>2.06</v>
      </c>
      <c r="G141" s="375">
        <f>TRUNC(20.83,2)</f>
        <v>20.83</v>
      </c>
      <c r="H141" s="543">
        <f>TRUNC(F141*G141,2)</f>
        <v>42.9</v>
      </c>
    </row>
    <row r="142" spans="2:8" x14ac:dyDescent="0.2">
      <c r="B142" s="508"/>
      <c r="C142" s="224"/>
      <c r="D142" s="516"/>
      <c r="E142" s="258"/>
      <c r="F142" s="258" t="s">
        <v>38</v>
      </c>
      <c r="G142" s="375"/>
      <c r="H142" s="543">
        <f>TRUNC(SUM(H138:H141),2)</f>
        <v>342.76</v>
      </c>
    </row>
    <row r="143" spans="2:8" ht="42.75" customHeight="1" x14ac:dyDescent="0.2">
      <c r="B143" s="508" t="s">
        <v>1037</v>
      </c>
      <c r="C143" s="224" t="s">
        <v>625</v>
      </c>
      <c r="D143" s="516" t="s">
        <v>626</v>
      </c>
      <c r="E143" s="376" t="s">
        <v>18</v>
      </c>
      <c r="F143" s="258">
        <v>1</v>
      </c>
      <c r="G143" s="375">
        <f>TRUNC(H152,2)</f>
        <v>55.3</v>
      </c>
      <c r="H143" s="543">
        <f t="shared" ref="H143:H151" si="3">TRUNC(F143*G143,2)</f>
        <v>55.3</v>
      </c>
    </row>
    <row r="144" spans="2:8" ht="42.75" customHeight="1" x14ac:dyDescent="0.2">
      <c r="B144" s="508"/>
      <c r="C144" s="224" t="s">
        <v>1212</v>
      </c>
      <c r="D144" s="516" t="s">
        <v>621</v>
      </c>
      <c r="E144" s="376" t="s">
        <v>22</v>
      </c>
      <c r="F144" s="258">
        <v>6</v>
      </c>
      <c r="G144" s="258">
        <f>TRUNC(0.25,2)</f>
        <v>0.25</v>
      </c>
      <c r="H144" s="543">
        <f t="shared" si="3"/>
        <v>1.5</v>
      </c>
    </row>
    <row r="145" spans="2:8" ht="24" x14ac:dyDescent="0.2">
      <c r="B145" s="508"/>
      <c r="C145" s="224" t="s">
        <v>1213</v>
      </c>
      <c r="D145" s="516" t="s">
        <v>622</v>
      </c>
      <c r="E145" s="376" t="s">
        <v>18</v>
      </c>
      <c r="F145" s="258">
        <v>0.22</v>
      </c>
      <c r="G145" s="258">
        <f>TRUNC(4.08,2)</f>
        <v>4.08</v>
      </c>
      <c r="H145" s="543">
        <f t="shared" si="3"/>
        <v>0.89</v>
      </c>
    </row>
    <row r="146" spans="2:8" ht="24" x14ac:dyDescent="0.2">
      <c r="B146" s="508"/>
      <c r="C146" s="224" t="s">
        <v>1214</v>
      </c>
      <c r="D146" s="516" t="s">
        <v>57</v>
      </c>
      <c r="E146" s="376" t="s">
        <v>42</v>
      </c>
      <c r="F146" s="258">
        <v>7.0000000000000001E-3</v>
      </c>
      <c r="G146" s="258">
        <f>TRUNC(6.39,2)</f>
        <v>6.39</v>
      </c>
      <c r="H146" s="543">
        <f t="shared" si="3"/>
        <v>0.04</v>
      </c>
    </row>
    <row r="147" spans="2:8" x14ac:dyDescent="0.2">
      <c r="B147" s="508"/>
      <c r="C147" s="224" t="s">
        <v>1184</v>
      </c>
      <c r="D147" s="516" t="s">
        <v>39</v>
      </c>
      <c r="E147" s="376" t="s">
        <v>37</v>
      </c>
      <c r="F147" s="258">
        <v>0.18</v>
      </c>
      <c r="G147" s="258">
        <f>TRUNC(21.86,2)</f>
        <v>21.86</v>
      </c>
      <c r="H147" s="543">
        <f t="shared" si="3"/>
        <v>3.93</v>
      </c>
    </row>
    <row r="148" spans="2:8" x14ac:dyDescent="0.2">
      <c r="B148" s="508"/>
      <c r="C148" s="224" t="s">
        <v>1191</v>
      </c>
      <c r="D148" s="516" t="s">
        <v>47</v>
      </c>
      <c r="E148" s="376" t="s">
        <v>37</v>
      </c>
      <c r="F148" s="258">
        <v>0.36</v>
      </c>
      <c r="G148" s="258">
        <f>TRUNC(28,2)</f>
        <v>28</v>
      </c>
      <c r="H148" s="543">
        <f t="shared" si="3"/>
        <v>10.08</v>
      </c>
    </row>
    <row r="149" spans="2:8" ht="36" x14ac:dyDescent="0.2">
      <c r="B149" s="508"/>
      <c r="C149" s="224" t="s">
        <v>1215</v>
      </c>
      <c r="D149" s="516" t="s">
        <v>1216</v>
      </c>
      <c r="E149" s="376" t="s">
        <v>19</v>
      </c>
      <c r="F149" s="258">
        <v>2.4E-2</v>
      </c>
      <c r="G149" s="258">
        <f>TRUNC(276.92,2)</f>
        <v>276.92</v>
      </c>
      <c r="H149" s="543">
        <f t="shared" si="3"/>
        <v>6.64</v>
      </c>
    </row>
    <row r="150" spans="2:8" ht="36" x14ac:dyDescent="0.2">
      <c r="B150" s="508"/>
      <c r="C150" s="224" t="s">
        <v>1217</v>
      </c>
      <c r="D150" s="516" t="s">
        <v>1218</v>
      </c>
      <c r="E150" s="376" t="s">
        <v>23</v>
      </c>
      <c r="F150" s="258">
        <v>0.79</v>
      </c>
      <c r="G150" s="258">
        <f>TRUNC(7.12,2)</f>
        <v>7.12</v>
      </c>
      <c r="H150" s="543">
        <f t="shared" si="3"/>
        <v>5.62</v>
      </c>
    </row>
    <row r="151" spans="2:8" ht="24" x14ac:dyDescent="0.2">
      <c r="B151" s="508"/>
      <c r="C151" s="224" t="s">
        <v>1219</v>
      </c>
      <c r="D151" s="516" t="s">
        <v>1220</v>
      </c>
      <c r="E151" s="376" t="s">
        <v>16</v>
      </c>
      <c r="F151" s="258">
        <v>0.4</v>
      </c>
      <c r="G151" s="258">
        <f>TRUNC(66.52,2)</f>
        <v>66.52</v>
      </c>
      <c r="H151" s="543">
        <f t="shared" si="3"/>
        <v>26.6</v>
      </c>
    </row>
    <row r="152" spans="2:8" x14ac:dyDescent="0.2">
      <c r="B152" s="508"/>
      <c r="C152" s="224"/>
      <c r="D152" s="516"/>
      <c r="E152" s="376"/>
      <c r="F152" s="258" t="s">
        <v>38</v>
      </c>
      <c r="G152" s="258"/>
      <c r="H152" s="543">
        <f>TRUNC(SUM(H144:H151),2)</f>
        <v>55.3</v>
      </c>
    </row>
    <row r="153" spans="2:8" x14ac:dyDescent="0.2">
      <c r="B153" s="508"/>
      <c r="C153" s="224"/>
      <c r="D153" s="516"/>
      <c r="E153" s="376"/>
      <c r="F153" s="258"/>
      <c r="G153" s="258"/>
      <c r="H153" s="543"/>
    </row>
    <row r="154" spans="2:8" ht="36" x14ac:dyDescent="0.2">
      <c r="B154" s="508" t="s">
        <v>1038</v>
      </c>
      <c r="C154" s="224" t="s">
        <v>1221</v>
      </c>
      <c r="D154" s="516" t="s">
        <v>624</v>
      </c>
      <c r="E154" s="376" t="s">
        <v>18</v>
      </c>
      <c r="F154" s="258">
        <v>1</v>
      </c>
      <c r="G154" s="375">
        <f>TRUNC(H162,2)</f>
        <v>52.12</v>
      </c>
      <c r="H154" s="543">
        <f t="shared" ref="H154:H161" si="4">TRUNC(F154*G154,2)</f>
        <v>52.12</v>
      </c>
    </row>
    <row r="155" spans="2:8" ht="36" x14ac:dyDescent="0.2">
      <c r="B155" s="508"/>
      <c r="C155" s="224" t="s">
        <v>1212</v>
      </c>
      <c r="D155" s="516" t="s">
        <v>621</v>
      </c>
      <c r="E155" s="376" t="s">
        <v>22</v>
      </c>
      <c r="F155" s="258">
        <v>6</v>
      </c>
      <c r="G155" s="258">
        <f>TRUNC(0.25,2)</f>
        <v>0.25</v>
      </c>
      <c r="H155" s="543">
        <f t="shared" si="4"/>
        <v>1.5</v>
      </c>
    </row>
    <row r="156" spans="2:8" ht="24" x14ac:dyDescent="0.2">
      <c r="B156" s="508"/>
      <c r="C156" s="224" t="s">
        <v>1214</v>
      </c>
      <c r="D156" s="516" t="s">
        <v>57</v>
      </c>
      <c r="E156" s="376" t="s">
        <v>42</v>
      </c>
      <c r="F156" s="258">
        <v>7.0000000000000001E-3</v>
      </c>
      <c r="G156" s="258">
        <f>TRUNC(6.39,2)</f>
        <v>6.39</v>
      </c>
      <c r="H156" s="543">
        <f t="shared" si="4"/>
        <v>0.04</v>
      </c>
    </row>
    <row r="157" spans="2:8" x14ac:dyDescent="0.2">
      <c r="B157" s="508"/>
      <c r="C157" s="224" t="s">
        <v>1184</v>
      </c>
      <c r="D157" s="516" t="s">
        <v>39</v>
      </c>
      <c r="E157" s="376" t="s">
        <v>37</v>
      </c>
      <c r="F157" s="258">
        <v>0.18</v>
      </c>
      <c r="G157" s="258">
        <f>TRUNC(21.86,2)</f>
        <v>21.86</v>
      </c>
      <c r="H157" s="543">
        <f t="shared" si="4"/>
        <v>3.93</v>
      </c>
    </row>
    <row r="158" spans="2:8" x14ac:dyDescent="0.2">
      <c r="B158" s="508"/>
      <c r="C158" s="224" t="s">
        <v>1191</v>
      </c>
      <c r="D158" s="516" t="s">
        <v>47</v>
      </c>
      <c r="E158" s="376" t="s">
        <v>37</v>
      </c>
      <c r="F158" s="258">
        <v>0.36</v>
      </c>
      <c r="G158" s="258">
        <f>TRUNC(28,2)</f>
        <v>28</v>
      </c>
      <c r="H158" s="543">
        <f t="shared" si="4"/>
        <v>10.08</v>
      </c>
    </row>
    <row r="159" spans="2:8" ht="36" x14ac:dyDescent="0.2">
      <c r="B159" s="508"/>
      <c r="C159" s="224" t="s">
        <v>1215</v>
      </c>
      <c r="D159" s="516" t="s">
        <v>1216</v>
      </c>
      <c r="E159" s="376" t="s">
        <v>19</v>
      </c>
      <c r="F159" s="258">
        <v>2.4E-2</v>
      </c>
      <c r="G159" s="258">
        <f>TRUNC(276.92,2)</f>
        <v>276.92</v>
      </c>
      <c r="H159" s="543">
        <f t="shared" si="4"/>
        <v>6.64</v>
      </c>
    </row>
    <row r="160" spans="2:8" ht="36" x14ac:dyDescent="0.2">
      <c r="B160" s="508"/>
      <c r="C160" s="224" t="s">
        <v>1222</v>
      </c>
      <c r="D160" s="516" t="s">
        <v>1223</v>
      </c>
      <c r="E160" s="376" t="s">
        <v>23</v>
      </c>
      <c r="F160" s="258">
        <v>0.49</v>
      </c>
      <c r="G160" s="258">
        <f>TRUNC(6.81,2)</f>
        <v>6.81</v>
      </c>
      <c r="H160" s="543">
        <f t="shared" si="4"/>
        <v>3.33</v>
      </c>
    </row>
    <row r="161" spans="1:8" ht="24" x14ac:dyDescent="0.2">
      <c r="B161" s="508"/>
      <c r="C161" s="224" t="s">
        <v>1219</v>
      </c>
      <c r="D161" s="516" t="s">
        <v>1220</v>
      </c>
      <c r="E161" s="376" t="s">
        <v>16</v>
      </c>
      <c r="F161" s="258">
        <v>0.4</v>
      </c>
      <c r="G161" s="258">
        <f>TRUNC(66.52,2)</f>
        <v>66.52</v>
      </c>
      <c r="H161" s="543">
        <f t="shared" si="4"/>
        <v>26.6</v>
      </c>
    </row>
    <row r="162" spans="1:8" x14ac:dyDescent="0.2">
      <c r="B162" s="508"/>
      <c r="C162" s="224"/>
      <c r="D162" s="516"/>
      <c r="E162" s="376"/>
      <c r="F162" s="258" t="s">
        <v>38</v>
      </c>
      <c r="G162" s="258"/>
      <c r="H162" s="543">
        <f>TRUNC(SUM(H155:H161),2)</f>
        <v>52.12</v>
      </c>
    </row>
    <row r="163" spans="1:8" ht="12" customHeight="1" x14ac:dyDescent="0.2">
      <c r="A163" s="47"/>
      <c r="B163" s="492" t="s">
        <v>100</v>
      </c>
      <c r="C163" s="493"/>
      <c r="D163" s="542" t="s">
        <v>66</v>
      </c>
      <c r="E163" s="495"/>
      <c r="F163" s="495"/>
      <c r="G163" s="495"/>
      <c r="H163" s="219"/>
    </row>
    <row r="164" spans="1:8" ht="60" x14ac:dyDescent="0.2">
      <c r="A164" s="47"/>
      <c r="B164" s="492" t="s">
        <v>1039</v>
      </c>
      <c r="C164" s="493" t="s">
        <v>179</v>
      </c>
      <c r="D164" s="494" t="s">
        <v>542</v>
      </c>
      <c r="E164" s="495" t="s">
        <v>22</v>
      </c>
      <c r="F164" s="495">
        <v>1</v>
      </c>
      <c r="G164" s="495">
        <f>TRUNC(H177,2)</f>
        <v>146.76</v>
      </c>
      <c r="H164" s="219">
        <f t="shared" ref="H164:H176" si="5">TRUNC(F164*G164,2)</f>
        <v>146.76</v>
      </c>
    </row>
    <row r="165" spans="1:8" ht="36" x14ac:dyDescent="0.2">
      <c r="A165" s="47"/>
      <c r="B165" s="492"/>
      <c r="C165" s="493" t="s">
        <v>1224</v>
      </c>
      <c r="D165" s="494" t="s">
        <v>1225</v>
      </c>
      <c r="E165" s="495" t="s">
        <v>22</v>
      </c>
      <c r="F165" s="495">
        <v>1</v>
      </c>
      <c r="G165" s="495">
        <f>TRUNC(22.99,2)</f>
        <v>22.99</v>
      </c>
      <c r="H165" s="219">
        <f t="shared" si="5"/>
        <v>22.99</v>
      </c>
    </row>
    <row r="166" spans="1:8" ht="36" x14ac:dyDescent="0.2">
      <c r="A166" s="47"/>
      <c r="B166" s="492"/>
      <c r="C166" s="493" t="s">
        <v>1226</v>
      </c>
      <c r="D166" s="494" t="s">
        <v>1227</v>
      </c>
      <c r="E166" s="495" t="s">
        <v>22</v>
      </c>
      <c r="F166" s="495">
        <v>1</v>
      </c>
      <c r="G166" s="495">
        <f>TRUNC(14.6,2)</f>
        <v>14.6</v>
      </c>
      <c r="H166" s="219">
        <f t="shared" si="5"/>
        <v>14.6</v>
      </c>
    </row>
    <row r="167" spans="1:8" ht="36" x14ac:dyDescent="0.2">
      <c r="A167" s="47"/>
      <c r="B167" s="492"/>
      <c r="C167" s="493" t="s">
        <v>1228</v>
      </c>
      <c r="D167" s="494" t="s">
        <v>1229</v>
      </c>
      <c r="E167" s="495" t="s">
        <v>22</v>
      </c>
      <c r="F167" s="495">
        <v>0.375</v>
      </c>
      <c r="G167" s="495">
        <f>TRUNC(10.59,2)</f>
        <v>10.59</v>
      </c>
      <c r="H167" s="219">
        <f t="shared" si="5"/>
        <v>3.97</v>
      </c>
    </row>
    <row r="168" spans="1:8" ht="48" x14ac:dyDescent="0.2">
      <c r="A168" s="47"/>
      <c r="B168" s="492"/>
      <c r="C168" s="493" t="s">
        <v>1230</v>
      </c>
      <c r="D168" s="494" t="s">
        <v>1231</v>
      </c>
      <c r="E168" s="495" t="s">
        <v>18</v>
      </c>
      <c r="F168" s="495">
        <v>0</v>
      </c>
      <c r="G168" s="495">
        <f>TRUNC(2.18,2)</f>
        <v>2.1800000000000002</v>
      </c>
      <c r="H168" s="219">
        <f t="shared" si="5"/>
        <v>0</v>
      </c>
    </row>
    <row r="169" spans="1:8" ht="36" x14ac:dyDescent="0.2">
      <c r="A169" s="47"/>
      <c r="B169" s="492"/>
      <c r="C169" s="493" t="s">
        <v>152</v>
      </c>
      <c r="D169" s="494" t="s">
        <v>174</v>
      </c>
      <c r="E169" s="495" t="s">
        <v>18</v>
      </c>
      <c r="F169" s="495">
        <v>8.4</v>
      </c>
      <c r="G169" s="495">
        <f>TRUNC(3.12006,2)</f>
        <v>3.12</v>
      </c>
      <c r="H169" s="219">
        <f t="shared" si="5"/>
        <v>26.2</v>
      </c>
    </row>
    <row r="170" spans="1:8" ht="48" x14ac:dyDescent="0.2">
      <c r="A170" s="47"/>
      <c r="B170" s="492"/>
      <c r="C170" s="493" t="s">
        <v>1232</v>
      </c>
      <c r="D170" s="494" t="s">
        <v>1233</v>
      </c>
      <c r="E170" s="495" t="s">
        <v>18</v>
      </c>
      <c r="F170" s="495">
        <v>0</v>
      </c>
      <c r="G170" s="495">
        <f>TRUNC(7.93,2)</f>
        <v>7.93</v>
      </c>
      <c r="H170" s="219">
        <f t="shared" si="5"/>
        <v>0</v>
      </c>
    </row>
    <row r="171" spans="1:8" ht="36" x14ac:dyDescent="0.2">
      <c r="A171" s="47"/>
      <c r="B171" s="492"/>
      <c r="C171" s="493" t="s">
        <v>175</v>
      </c>
      <c r="D171" s="494" t="s">
        <v>176</v>
      </c>
      <c r="E171" s="495" t="s">
        <v>18</v>
      </c>
      <c r="F171" s="495">
        <v>2.2000000000000002</v>
      </c>
      <c r="G171" s="495">
        <f>TRUNC(8.58429,2)</f>
        <v>8.58</v>
      </c>
      <c r="H171" s="219">
        <f t="shared" si="5"/>
        <v>18.87</v>
      </c>
    </row>
    <row r="172" spans="1:8" ht="48" x14ac:dyDescent="0.2">
      <c r="A172" s="47"/>
      <c r="B172" s="492"/>
      <c r="C172" s="493" t="s">
        <v>1234</v>
      </c>
      <c r="D172" s="494" t="s">
        <v>1235</v>
      </c>
      <c r="E172" s="495" t="s">
        <v>18</v>
      </c>
      <c r="F172" s="495">
        <v>0</v>
      </c>
      <c r="G172" s="495">
        <f>TRUNC(5.25,2)</f>
        <v>5.25</v>
      </c>
      <c r="H172" s="219">
        <f t="shared" si="5"/>
        <v>0</v>
      </c>
    </row>
    <row r="173" spans="1:8" ht="36" x14ac:dyDescent="0.2">
      <c r="A173" s="47"/>
      <c r="B173" s="492"/>
      <c r="C173" s="493" t="s">
        <v>177</v>
      </c>
      <c r="D173" s="494" t="s">
        <v>178</v>
      </c>
      <c r="E173" s="495" t="s">
        <v>18</v>
      </c>
      <c r="F173" s="495">
        <v>2</v>
      </c>
      <c r="G173" s="495">
        <f>TRUNC(6.01155,2)</f>
        <v>6.01</v>
      </c>
      <c r="H173" s="219">
        <f t="shared" si="5"/>
        <v>12.02</v>
      </c>
    </row>
    <row r="174" spans="1:8" ht="36" x14ac:dyDescent="0.2">
      <c r="A174" s="47"/>
      <c r="B174" s="492"/>
      <c r="C174" s="493" t="s">
        <v>1236</v>
      </c>
      <c r="D174" s="494" t="s">
        <v>1237</v>
      </c>
      <c r="E174" s="495" t="s">
        <v>18</v>
      </c>
      <c r="F174" s="495">
        <v>2.2000000000000002</v>
      </c>
      <c r="G174" s="495">
        <f>TRUNC(13.1,2)</f>
        <v>13.1</v>
      </c>
      <c r="H174" s="219">
        <f t="shared" si="5"/>
        <v>28.82</v>
      </c>
    </row>
    <row r="175" spans="1:8" ht="36" x14ac:dyDescent="0.2">
      <c r="A175" s="47"/>
      <c r="B175" s="492"/>
      <c r="C175" s="493" t="s">
        <v>1238</v>
      </c>
      <c r="D175" s="494" t="s">
        <v>1239</v>
      </c>
      <c r="E175" s="495" t="s">
        <v>22</v>
      </c>
      <c r="F175" s="495">
        <v>1</v>
      </c>
      <c r="G175" s="495">
        <f>TRUNC(4.4,2)</f>
        <v>4.4000000000000004</v>
      </c>
      <c r="H175" s="219">
        <f t="shared" si="5"/>
        <v>4.4000000000000004</v>
      </c>
    </row>
    <row r="176" spans="1:8" ht="36" x14ac:dyDescent="0.2">
      <c r="A176" s="47"/>
      <c r="B176" s="492"/>
      <c r="C176" s="493" t="s">
        <v>1240</v>
      </c>
      <c r="D176" s="494" t="s">
        <v>1241</v>
      </c>
      <c r="E176" s="495" t="s">
        <v>18</v>
      </c>
      <c r="F176" s="495">
        <v>2.2000000000000002</v>
      </c>
      <c r="G176" s="495">
        <f>TRUNC(6.77,2)</f>
        <v>6.77</v>
      </c>
      <c r="H176" s="219">
        <f t="shared" si="5"/>
        <v>14.89</v>
      </c>
    </row>
    <row r="177" spans="1:8" x14ac:dyDescent="0.2">
      <c r="A177" s="47"/>
      <c r="B177" s="492"/>
      <c r="C177" s="493"/>
      <c r="D177" s="494"/>
      <c r="E177" s="495"/>
      <c r="F177" s="495" t="s">
        <v>38</v>
      </c>
      <c r="G177" s="495"/>
      <c r="H177" s="219">
        <f>TRUNC(SUM(H165:H176),2)</f>
        <v>146.76</v>
      </c>
    </row>
    <row r="178" spans="1:8" ht="48" x14ac:dyDescent="0.2">
      <c r="A178" s="47"/>
      <c r="B178" s="492" t="s">
        <v>1040</v>
      </c>
      <c r="C178" s="493" t="s">
        <v>541</v>
      </c>
      <c r="D178" s="494" t="s">
        <v>543</v>
      </c>
      <c r="E178" s="495" t="s">
        <v>22</v>
      </c>
      <c r="F178" s="495">
        <v>1</v>
      </c>
      <c r="G178" s="495">
        <f>TRUNC(H190,2)</f>
        <v>164.88</v>
      </c>
      <c r="H178" s="219">
        <f t="shared" ref="H178:H189" si="6">TRUNC(F178*G178,2)</f>
        <v>164.88</v>
      </c>
    </row>
    <row r="179" spans="1:8" ht="36" x14ac:dyDescent="0.2">
      <c r="A179" s="47"/>
      <c r="B179" s="492"/>
      <c r="C179" s="493" t="s">
        <v>1242</v>
      </c>
      <c r="D179" s="494" t="s">
        <v>1611</v>
      </c>
      <c r="E179" s="495" t="s">
        <v>22</v>
      </c>
      <c r="F179" s="495">
        <v>1</v>
      </c>
      <c r="G179" s="495">
        <f>TRUNC(27.81,2)</f>
        <v>27.81</v>
      </c>
      <c r="H179" s="219">
        <f t="shared" si="6"/>
        <v>27.81</v>
      </c>
    </row>
    <row r="180" spans="1:8" ht="36" x14ac:dyDescent="0.2">
      <c r="A180" s="47"/>
      <c r="B180" s="492"/>
      <c r="C180" s="493" t="s">
        <v>1226</v>
      </c>
      <c r="D180" s="494" t="s">
        <v>1612</v>
      </c>
      <c r="E180" s="495" t="s">
        <v>22</v>
      </c>
      <c r="F180" s="495">
        <v>1</v>
      </c>
      <c r="G180" s="495">
        <f>TRUNC(14.626018,2)</f>
        <v>14.62</v>
      </c>
      <c r="H180" s="219">
        <f t="shared" si="6"/>
        <v>14.62</v>
      </c>
    </row>
    <row r="181" spans="1:8" ht="24" x14ac:dyDescent="0.2">
      <c r="A181" s="47"/>
      <c r="B181" s="492"/>
      <c r="C181" s="493" t="s">
        <v>1228</v>
      </c>
      <c r="D181" s="494" t="s">
        <v>1613</v>
      </c>
      <c r="E181" s="495" t="s">
        <v>22</v>
      </c>
      <c r="F181" s="495">
        <v>0.375</v>
      </c>
      <c r="G181" s="495">
        <f>TRUNC(10.60853,2)</f>
        <v>10.6</v>
      </c>
      <c r="H181" s="219">
        <f t="shared" si="6"/>
        <v>3.97</v>
      </c>
    </row>
    <row r="182" spans="1:8" ht="36" x14ac:dyDescent="0.2">
      <c r="A182" s="47"/>
      <c r="B182" s="492"/>
      <c r="C182" s="493" t="s">
        <v>1243</v>
      </c>
      <c r="D182" s="494" t="s">
        <v>174</v>
      </c>
      <c r="E182" s="495" t="s">
        <v>18</v>
      </c>
      <c r="F182" s="495">
        <v>12.6</v>
      </c>
      <c r="G182" s="495">
        <f>TRUNC(3.07736,2)</f>
        <v>3.07</v>
      </c>
      <c r="H182" s="219">
        <f t="shared" si="6"/>
        <v>38.68</v>
      </c>
    </row>
    <row r="183" spans="1:8" ht="36" x14ac:dyDescent="0.2">
      <c r="A183" s="47"/>
      <c r="B183" s="492"/>
      <c r="C183" s="493" t="s">
        <v>1232</v>
      </c>
      <c r="D183" s="494" t="s">
        <v>1614</v>
      </c>
      <c r="E183" s="495" t="s">
        <v>18</v>
      </c>
      <c r="F183" s="495">
        <v>0</v>
      </c>
      <c r="G183" s="495">
        <f>TRUNC(7.94826,2)</f>
        <v>7.94</v>
      </c>
      <c r="H183" s="219">
        <f t="shared" si="6"/>
        <v>0</v>
      </c>
    </row>
    <row r="184" spans="1:8" ht="36" x14ac:dyDescent="0.2">
      <c r="A184" s="47"/>
      <c r="B184" s="492"/>
      <c r="C184" s="493" t="s">
        <v>1615</v>
      </c>
      <c r="D184" s="494" t="s">
        <v>176</v>
      </c>
      <c r="E184" s="495" t="s">
        <v>18</v>
      </c>
      <c r="F184" s="495">
        <v>2.2000000000000002</v>
      </c>
      <c r="G184" s="495">
        <f>TRUNC(8.81595,2)</f>
        <v>8.81</v>
      </c>
      <c r="H184" s="219">
        <f t="shared" si="6"/>
        <v>19.38</v>
      </c>
    </row>
    <row r="185" spans="1:8" ht="36" x14ac:dyDescent="0.2">
      <c r="A185" s="47"/>
      <c r="B185" s="492"/>
      <c r="C185" s="493" t="s">
        <v>1234</v>
      </c>
      <c r="D185" s="494" t="s">
        <v>1616</v>
      </c>
      <c r="E185" s="495" t="s">
        <v>18</v>
      </c>
      <c r="F185" s="495">
        <v>0</v>
      </c>
      <c r="G185" s="495">
        <f>TRUNC(5.26148,2)</f>
        <v>5.26</v>
      </c>
      <c r="H185" s="219">
        <f t="shared" si="6"/>
        <v>0</v>
      </c>
    </row>
    <row r="186" spans="1:8" ht="36" x14ac:dyDescent="0.2">
      <c r="A186" s="47"/>
      <c r="B186" s="492"/>
      <c r="C186" s="493" t="s">
        <v>1617</v>
      </c>
      <c r="D186" s="494" t="s">
        <v>178</v>
      </c>
      <c r="E186" s="495" t="s">
        <v>18</v>
      </c>
      <c r="F186" s="495">
        <v>2</v>
      </c>
      <c r="G186" s="495">
        <f>TRUNC(6.1418,2)</f>
        <v>6.14</v>
      </c>
      <c r="H186" s="219">
        <f t="shared" si="6"/>
        <v>12.28</v>
      </c>
    </row>
    <row r="187" spans="1:8" ht="36" x14ac:dyDescent="0.2">
      <c r="A187" s="47"/>
      <c r="B187" s="492"/>
      <c r="C187" s="493" t="s">
        <v>1236</v>
      </c>
      <c r="D187" s="494" t="s">
        <v>1618</v>
      </c>
      <c r="E187" s="495" t="s">
        <v>18</v>
      </c>
      <c r="F187" s="495">
        <v>2.2000000000000002</v>
      </c>
      <c r="G187" s="495">
        <f>TRUNC(13.10955,2)</f>
        <v>13.1</v>
      </c>
      <c r="H187" s="219">
        <f t="shared" si="6"/>
        <v>28.82</v>
      </c>
    </row>
    <row r="188" spans="1:8" ht="24" x14ac:dyDescent="0.2">
      <c r="A188" s="47"/>
      <c r="B188" s="492"/>
      <c r="C188" s="493" t="s">
        <v>1238</v>
      </c>
      <c r="D188" s="494" t="s">
        <v>1619</v>
      </c>
      <c r="E188" s="495" t="s">
        <v>22</v>
      </c>
      <c r="F188" s="495">
        <v>1</v>
      </c>
      <c r="G188" s="495">
        <f>TRUNC(4.41039,2)</f>
        <v>4.41</v>
      </c>
      <c r="H188" s="219">
        <f t="shared" si="6"/>
        <v>4.41</v>
      </c>
    </row>
    <row r="189" spans="1:8" ht="24" x14ac:dyDescent="0.2">
      <c r="A189" s="47"/>
      <c r="B189" s="492"/>
      <c r="C189" s="493" t="s">
        <v>1240</v>
      </c>
      <c r="D189" s="494" t="s">
        <v>1620</v>
      </c>
      <c r="E189" s="495" t="s">
        <v>18</v>
      </c>
      <c r="F189" s="495">
        <v>2.2000000000000002</v>
      </c>
      <c r="G189" s="495">
        <f>TRUNC(6.78068,2)</f>
        <v>6.78</v>
      </c>
      <c r="H189" s="219">
        <f t="shared" si="6"/>
        <v>14.91</v>
      </c>
    </row>
    <row r="190" spans="1:8" x14ac:dyDescent="0.2">
      <c r="A190" s="47"/>
      <c r="B190" s="492"/>
      <c r="C190" s="493"/>
      <c r="D190" s="494"/>
      <c r="E190" s="495"/>
      <c r="F190" s="495" t="s">
        <v>38</v>
      </c>
      <c r="G190" s="495"/>
      <c r="H190" s="219">
        <f>TRUNC(SUM(H179:H189),2)</f>
        <v>164.88</v>
      </c>
    </row>
    <row r="191" spans="1:8" ht="48" x14ac:dyDescent="0.2">
      <c r="A191" s="47"/>
      <c r="B191" s="492" t="s">
        <v>1041</v>
      </c>
      <c r="C191" s="493" t="s">
        <v>544</v>
      </c>
      <c r="D191" s="494" t="s">
        <v>545</v>
      </c>
      <c r="E191" s="495" t="s">
        <v>22</v>
      </c>
      <c r="F191" s="495">
        <v>1</v>
      </c>
      <c r="G191" s="495">
        <f>TRUNC(H204,2)</f>
        <v>187.81</v>
      </c>
      <c r="H191" s="219">
        <f t="shared" ref="H191:H203" si="7">TRUNC(F191*G191,2)</f>
        <v>187.81</v>
      </c>
    </row>
    <row r="192" spans="1:8" ht="36" x14ac:dyDescent="0.2">
      <c r="A192" s="47"/>
      <c r="B192" s="492"/>
      <c r="C192" s="493" t="s">
        <v>1242</v>
      </c>
      <c r="D192" s="494" t="s">
        <v>1611</v>
      </c>
      <c r="E192" s="495" t="s">
        <v>22</v>
      </c>
      <c r="F192" s="495">
        <v>1</v>
      </c>
      <c r="G192" s="495">
        <f>TRUNC(27.81,2)</f>
        <v>27.81</v>
      </c>
      <c r="H192" s="219">
        <f t="shared" si="7"/>
        <v>27.81</v>
      </c>
    </row>
    <row r="193" spans="1:8" ht="36" x14ac:dyDescent="0.2">
      <c r="A193" s="47"/>
      <c r="B193" s="492"/>
      <c r="C193" s="493" t="s">
        <v>1226</v>
      </c>
      <c r="D193" s="494" t="s">
        <v>1612</v>
      </c>
      <c r="E193" s="495" t="s">
        <v>22</v>
      </c>
      <c r="F193" s="495">
        <v>1</v>
      </c>
      <c r="G193" s="495">
        <f>TRUNC(14.626018,2)</f>
        <v>14.62</v>
      </c>
      <c r="H193" s="219">
        <f t="shared" si="7"/>
        <v>14.62</v>
      </c>
    </row>
    <row r="194" spans="1:8" ht="24" x14ac:dyDescent="0.2">
      <c r="A194" s="47"/>
      <c r="B194" s="492"/>
      <c r="C194" s="493" t="s">
        <v>1228</v>
      </c>
      <c r="D194" s="494" t="s">
        <v>1613</v>
      </c>
      <c r="E194" s="495" t="s">
        <v>22</v>
      </c>
      <c r="F194" s="495">
        <v>0.375</v>
      </c>
      <c r="G194" s="495">
        <f>TRUNC(10.60853,2)</f>
        <v>10.6</v>
      </c>
      <c r="H194" s="219">
        <f t="shared" si="7"/>
        <v>3.97</v>
      </c>
    </row>
    <row r="195" spans="1:8" ht="36" x14ac:dyDescent="0.2">
      <c r="A195" s="47"/>
      <c r="B195" s="492"/>
      <c r="C195" s="493" t="s">
        <v>1243</v>
      </c>
      <c r="D195" s="494" t="s">
        <v>174</v>
      </c>
      <c r="E195" s="495" t="s">
        <v>18</v>
      </c>
      <c r="F195" s="495">
        <v>0</v>
      </c>
      <c r="G195" s="495">
        <f>TRUNC(3.07736,2)</f>
        <v>3.07</v>
      </c>
      <c r="H195" s="219">
        <f t="shared" si="7"/>
        <v>0</v>
      </c>
    </row>
    <row r="196" spans="1:8" ht="36" x14ac:dyDescent="0.2">
      <c r="A196" s="47"/>
      <c r="B196" s="492"/>
      <c r="C196" s="493" t="s">
        <v>180</v>
      </c>
      <c r="D196" s="494" t="s">
        <v>95</v>
      </c>
      <c r="E196" s="495" t="s">
        <v>18</v>
      </c>
      <c r="F196" s="495">
        <v>12.6</v>
      </c>
      <c r="G196" s="495">
        <f>TRUNC(4.89676,2)</f>
        <v>4.8899999999999997</v>
      </c>
      <c r="H196" s="219">
        <f t="shared" si="7"/>
        <v>61.61</v>
      </c>
    </row>
    <row r="197" spans="1:8" ht="48" x14ac:dyDescent="0.2">
      <c r="A197" s="47"/>
      <c r="B197" s="492"/>
      <c r="C197" s="493" t="s">
        <v>1232</v>
      </c>
      <c r="D197" s="494" t="s">
        <v>1233</v>
      </c>
      <c r="E197" s="495" t="s">
        <v>18</v>
      </c>
      <c r="F197" s="495">
        <v>0</v>
      </c>
      <c r="G197" s="495">
        <f>TRUNC(7.93,2)</f>
        <v>7.93</v>
      </c>
      <c r="H197" s="219">
        <f t="shared" si="7"/>
        <v>0</v>
      </c>
    </row>
    <row r="198" spans="1:8" ht="36" x14ac:dyDescent="0.2">
      <c r="A198" s="47"/>
      <c r="B198" s="492"/>
      <c r="C198" s="493" t="s">
        <v>1615</v>
      </c>
      <c r="D198" s="494" t="s">
        <v>176</v>
      </c>
      <c r="E198" s="495" t="s">
        <v>18</v>
      </c>
      <c r="F198" s="495">
        <v>2.2000000000000002</v>
      </c>
      <c r="G198" s="495">
        <f>TRUNC(8.81595,2)</f>
        <v>8.81</v>
      </c>
      <c r="H198" s="219">
        <f t="shared" si="7"/>
        <v>19.38</v>
      </c>
    </row>
    <row r="199" spans="1:8" ht="36" x14ac:dyDescent="0.2">
      <c r="A199" s="47"/>
      <c r="B199" s="492"/>
      <c r="C199" s="493" t="s">
        <v>1234</v>
      </c>
      <c r="D199" s="494" t="s">
        <v>1616</v>
      </c>
      <c r="E199" s="495" t="s">
        <v>18</v>
      </c>
      <c r="F199" s="495">
        <v>0</v>
      </c>
      <c r="G199" s="495">
        <f>TRUNC(5.26148,2)</f>
        <v>5.26</v>
      </c>
      <c r="H199" s="219">
        <f t="shared" si="7"/>
        <v>0</v>
      </c>
    </row>
    <row r="200" spans="1:8" ht="36" x14ac:dyDescent="0.2">
      <c r="A200" s="47"/>
      <c r="B200" s="492"/>
      <c r="C200" s="493" t="s">
        <v>1617</v>
      </c>
      <c r="D200" s="494" t="s">
        <v>178</v>
      </c>
      <c r="E200" s="495" t="s">
        <v>18</v>
      </c>
      <c r="F200" s="495">
        <v>2</v>
      </c>
      <c r="G200" s="495">
        <f>TRUNC(6.1418,2)</f>
        <v>6.14</v>
      </c>
      <c r="H200" s="219">
        <f t="shared" si="7"/>
        <v>12.28</v>
      </c>
    </row>
    <row r="201" spans="1:8" ht="36" x14ac:dyDescent="0.2">
      <c r="A201" s="47"/>
      <c r="B201" s="492"/>
      <c r="C201" s="493" t="s">
        <v>1236</v>
      </c>
      <c r="D201" s="494" t="s">
        <v>1618</v>
      </c>
      <c r="E201" s="495" t="s">
        <v>18</v>
      </c>
      <c r="F201" s="495">
        <v>2.2000000000000002</v>
      </c>
      <c r="G201" s="495">
        <f>TRUNC(13.10955,2)</f>
        <v>13.1</v>
      </c>
      <c r="H201" s="219">
        <f t="shared" si="7"/>
        <v>28.82</v>
      </c>
    </row>
    <row r="202" spans="1:8" ht="24" x14ac:dyDescent="0.2">
      <c r="A202" s="47"/>
      <c r="B202" s="492"/>
      <c r="C202" s="493" t="s">
        <v>1238</v>
      </c>
      <c r="D202" s="494" t="s">
        <v>1619</v>
      </c>
      <c r="E202" s="495" t="s">
        <v>22</v>
      </c>
      <c r="F202" s="495">
        <v>1</v>
      </c>
      <c r="G202" s="495">
        <f>TRUNC(4.41039,2)</f>
        <v>4.41</v>
      </c>
      <c r="H202" s="219">
        <f t="shared" si="7"/>
        <v>4.41</v>
      </c>
    </row>
    <row r="203" spans="1:8" ht="24" x14ac:dyDescent="0.2">
      <c r="A203" s="47"/>
      <c r="B203" s="492"/>
      <c r="C203" s="493" t="s">
        <v>1240</v>
      </c>
      <c r="D203" s="494" t="s">
        <v>1620</v>
      </c>
      <c r="E203" s="495" t="s">
        <v>18</v>
      </c>
      <c r="F203" s="495">
        <v>2.2000000000000002</v>
      </c>
      <c r="G203" s="495">
        <f>TRUNC(6.78068,2)</f>
        <v>6.78</v>
      </c>
      <c r="H203" s="219">
        <f t="shared" si="7"/>
        <v>14.91</v>
      </c>
    </row>
    <row r="204" spans="1:8" x14ac:dyDescent="0.2">
      <c r="A204" s="47"/>
      <c r="B204" s="492"/>
      <c r="C204" s="493"/>
      <c r="D204" s="494"/>
      <c r="E204" s="495"/>
      <c r="F204" s="495" t="s">
        <v>38</v>
      </c>
      <c r="G204" s="495"/>
      <c r="H204" s="219">
        <f>TRUNC(SUM(H192:H203),2)</f>
        <v>187.81</v>
      </c>
    </row>
    <row r="205" spans="1:8" ht="60" x14ac:dyDescent="0.2">
      <c r="A205" s="47"/>
      <c r="B205" s="492" t="s">
        <v>1042</v>
      </c>
      <c r="C205" s="493" t="s">
        <v>181</v>
      </c>
      <c r="D205" s="494" t="s">
        <v>546</v>
      </c>
      <c r="E205" s="495" t="s">
        <v>22</v>
      </c>
      <c r="F205" s="495">
        <v>1</v>
      </c>
      <c r="G205" s="495">
        <f>TRUNC(H217,2)</f>
        <v>205.07</v>
      </c>
      <c r="H205" s="219">
        <f t="shared" ref="H205:H216" si="8">TRUNC(F205*G205,2)</f>
        <v>205.07</v>
      </c>
    </row>
    <row r="206" spans="1:8" ht="36" x14ac:dyDescent="0.2">
      <c r="A206" s="47"/>
      <c r="B206" s="492"/>
      <c r="C206" s="493" t="s">
        <v>1244</v>
      </c>
      <c r="D206" s="494" t="s">
        <v>1621</v>
      </c>
      <c r="E206" s="495" t="s">
        <v>22</v>
      </c>
      <c r="F206" s="495">
        <v>1</v>
      </c>
      <c r="G206" s="495">
        <f>TRUNC(8.36054,2)</f>
        <v>8.36</v>
      </c>
      <c r="H206" s="219">
        <f t="shared" si="8"/>
        <v>8.36</v>
      </c>
    </row>
    <row r="207" spans="1:8" ht="36" x14ac:dyDescent="0.2">
      <c r="A207" s="47"/>
      <c r="B207" s="492"/>
      <c r="C207" s="493" t="s">
        <v>1226</v>
      </c>
      <c r="D207" s="494" t="s">
        <v>1612</v>
      </c>
      <c r="E207" s="495" t="s">
        <v>22</v>
      </c>
      <c r="F207" s="495">
        <v>1</v>
      </c>
      <c r="G207" s="495">
        <f>TRUNC(14.626018,2)</f>
        <v>14.62</v>
      </c>
      <c r="H207" s="219">
        <f t="shared" si="8"/>
        <v>14.62</v>
      </c>
    </row>
    <row r="208" spans="1:8" ht="24" x14ac:dyDescent="0.2">
      <c r="A208" s="47"/>
      <c r="B208" s="492"/>
      <c r="C208" s="493" t="s">
        <v>1228</v>
      </c>
      <c r="D208" s="494" t="s">
        <v>1613</v>
      </c>
      <c r="E208" s="495" t="s">
        <v>22</v>
      </c>
      <c r="F208" s="495">
        <v>0.375</v>
      </c>
      <c r="G208" s="495">
        <f>TRUNC(10.60853,2)</f>
        <v>10.6</v>
      </c>
      <c r="H208" s="219">
        <f t="shared" si="8"/>
        <v>3.97</v>
      </c>
    </row>
    <row r="209" spans="1:8" ht="36" x14ac:dyDescent="0.2">
      <c r="A209" s="47"/>
      <c r="B209" s="492"/>
      <c r="C209" s="493" t="s">
        <v>1245</v>
      </c>
      <c r="D209" s="494" t="s">
        <v>95</v>
      </c>
      <c r="E209" s="495" t="s">
        <v>18</v>
      </c>
      <c r="F209" s="495">
        <v>18</v>
      </c>
      <c r="G209" s="495">
        <f>TRUNC(4.78826,2)</f>
        <v>4.78</v>
      </c>
      <c r="H209" s="219">
        <f t="shared" si="8"/>
        <v>86.04</v>
      </c>
    </row>
    <row r="210" spans="1:8" ht="36" x14ac:dyDescent="0.2">
      <c r="A210" s="47"/>
      <c r="B210" s="492"/>
      <c r="C210" s="493" t="s">
        <v>1232</v>
      </c>
      <c r="D210" s="494" t="s">
        <v>1614</v>
      </c>
      <c r="E210" s="495" t="s">
        <v>18</v>
      </c>
      <c r="F210" s="495">
        <v>0</v>
      </c>
      <c r="G210" s="495">
        <f>TRUNC(7.94826,2)</f>
        <v>7.94</v>
      </c>
      <c r="H210" s="219">
        <f t="shared" si="8"/>
        <v>0</v>
      </c>
    </row>
    <row r="211" spans="1:8" ht="36" x14ac:dyDescent="0.2">
      <c r="A211" s="47"/>
      <c r="B211" s="492"/>
      <c r="C211" s="493" t="s">
        <v>1615</v>
      </c>
      <c r="D211" s="494" t="s">
        <v>176</v>
      </c>
      <c r="E211" s="495" t="s">
        <v>18</v>
      </c>
      <c r="F211" s="495">
        <v>2.2000000000000002</v>
      </c>
      <c r="G211" s="495">
        <f>TRUNC(8.81595,2)</f>
        <v>8.81</v>
      </c>
      <c r="H211" s="219">
        <f t="shared" si="8"/>
        <v>19.38</v>
      </c>
    </row>
    <row r="212" spans="1:8" ht="36" x14ac:dyDescent="0.2">
      <c r="A212" s="47"/>
      <c r="B212" s="492"/>
      <c r="C212" s="493" t="s">
        <v>1234</v>
      </c>
      <c r="D212" s="494" t="s">
        <v>1616</v>
      </c>
      <c r="E212" s="495" t="s">
        <v>18</v>
      </c>
      <c r="F212" s="495">
        <v>0</v>
      </c>
      <c r="G212" s="495">
        <f>TRUNC(5.26148,2)</f>
        <v>5.26</v>
      </c>
      <c r="H212" s="219">
        <f t="shared" si="8"/>
        <v>0</v>
      </c>
    </row>
    <row r="213" spans="1:8" ht="36" x14ac:dyDescent="0.2">
      <c r="A213" s="47"/>
      <c r="B213" s="492"/>
      <c r="C213" s="493" t="s">
        <v>1617</v>
      </c>
      <c r="D213" s="494" t="s">
        <v>178</v>
      </c>
      <c r="E213" s="495" t="s">
        <v>18</v>
      </c>
      <c r="F213" s="495">
        <v>4</v>
      </c>
      <c r="G213" s="495">
        <f>TRUNC(6.1418,2)</f>
        <v>6.14</v>
      </c>
      <c r="H213" s="219">
        <f t="shared" si="8"/>
        <v>24.56</v>
      </c>
    </row>
    <row r="214" spans="1:8" ht="36" x14ac:dyDescent="0.2">
      <c r="A214" s="47"/>
      <c r="B214" s="492"/>
      <c r="C214" s="493" t="s">
        <v>1236</v>
      </c>
      <c r="D214" s="494" t="s">
        <v>1618</v>
      </c>
      <c r="E214" s="495" t="s">
        <v>18</v>
      </c>
      <c r="F214" s="495">
        <v>2.2000000000000002</v>
      </c>
      <c r="G214" s="495">
        <f>TRUNC(13.10955,2)</f>
        <v>13.1</v>
      </c>
      <c r="H214" s="219">
        <f t="shared" si="8"/>
        <v>28.82</v>
      </c>
    </row>
    <row r="215" spans="1:8" ht="24" x14ac:dyDescent="0.2">
      <c r="A215" s="47"/>
      <c r="B215" s="492"/>
      <c r="C215" s="493" t="s">
        <v>1238</v>
      </c>
      <c r="D215" s="494" t="s">
        <v>1619</v>
      </c>
      <c r="E215" s="495" t="s">
        <v>22</v>
      </c>
      <c r="F215" s="495">
        <v>1</v>
      </c>
      <c r="G215" s="495">
        <f>TRUNC(4.41039,2)</f>
        <v>4.41</v>
      </c>
      <c r="H215" s="219">
        <f t="shared" si="8"/>
        <v>4.41</v>
      </c>
    </row>
    <row r="216" spans="1:8" ht="24" x14ac:dyDescent="0.2">
      <c r="A216" s="47"/>
      <c r="B216" s="492"/>
      <c r="C216" s="493" t="s">
        <v>1240</v>
      </c>
      <c r="D216" s="494" t="s">
        <v>1620</v>
      </c>
      <c r="E216" s="495" t="s">
        <v>18</v>
      </c>
      <c r="F216" s="495">
        <v>2.2000000000000002</v>
      </c>
      <c r="G216" s="495">
        <f>TRUNC(6.78068,2)</f>
        <v>6.78</v>
      </c>
      <c r="H216" s="219">
        <f t="shared" si="8"/>
        <v>14.91</v>
      </c>
    </row>
    <row r="217" spans="1:8" x14ac:dyDescent="0.2">
      <c r="A217" s="47"/>
      <c r="B217" s="492"/>
      <c r="C217" s="493"/>
      <c r="D217" s="494"/>
      <c r="E217" s="495"/>
      <c r="F217" s="495" t="s">
        <v>38</v>
      </c>
      <c r="G217" s="495"/>
      <c r="H217" s="219">
        <f>TRUNC(SUM(H206:H216),2)</f>
        <v>205.07</v>
      </c>
    </row>
    <row r="218" spans="1:8" ht="40.5" customHeight="1" x14ac:dyDescent="0.2">
      <c r="A218" s="47"/>
      <c r="B218" s="492" t="s">
        <v>1043</v>
      </c>
      <c r="C218" s="493" t="s">
        <v>551</v>
      </c>
      <c r="D218" s="494" t="s">
        <v>954</v>
      </c>
      <c r="E218" s="495" t="s">
        <v>22</v>
      </c>
      <c r="F218" s="495">
        <v>1</v>
      </c>
      <c r="G218" s="495">
        <f>TRUNC(H223,2)</f>
        <v>22.99</v>
      </c>
      <c r="H218" s="219">
        <f>TRUNC(F218*G218,2)</f>
        <v>22.99</v>
      </c>
    </row>
    <row r="219" spans="1:8" x14ac:dyDescent="0.2">
      <c r="A219" s="47"/>
      <c r="B219" s="492"/>
      <c r="C219" s="493" t="s">
        <v>547</v>
      </c>
      <c r="D219" s="494" t="s">
        <v>548</v>
      </c>
      <c r="E219" s="495" t="s">
        <v>22</v>
      </c>
      <c r="F219" s="495">
        <v>0</v>
      </c>
      <c r="G219" s="495">
        <f>TRUNC(5.04,2)</f>
        <v>5.04</v>
      </c>
      <c r="H219" s="219">
        <f>TRUNC(F219*G219,2)</f>
        <v>0</v>
      </c>
    </row>
    <row r="220" spans="1:8" ht="24" x14ac:dyDescent="0.2">
      <c r="A220" s="47"/>
      <c r="B220" s="492"/>
      <c r="C220" s="493" t="s">
        <v>549</v>
      </c>
      <c r="D220" s="494" t="s">
        <v>550</v>
      </c>
      <c r="E220" s="495" t="s">
        <v>22</v>
      </c>
      <c r="F220" s="495">
        <v>1</v>
      </c>
      <c r="G220" s="495">
        <f>TRUNC(4.5,2)</f>
        <v>4.5</v>
      </c>
      <c r="H220" s="219">
        <f>TRUNC(F220*G220,2)</f>
        <v>4.5</v>
      </c>
    </row>
    <row r="221" spans="1:8" ht="24" x14ac:dyDescent="0.2">
      <c r="A221" s="47"/>
      <c r="B221" s="492"/>
      <c r="C221" s="493" t="s">
        <v>35</v>
      </c>
      <c r="D221" s="494" t="s">
        <v>36</v>
      </c>
      <c r="E221" s="495" t="s">
        <v>37</v>
      </c>
      <c r="F221" s="495">
        <v>0.51500000000000001</v>
      </c>
      <c r="G221" s="495">
        <f>TRUNC(15.09,2)</f>
        <v>15.09</v>
      </c>
      <c r="H221" s="219">
        <f>TRUNC(F221*G221,2)</f>
        <v>7.77</v>
      </c>
    </row>
    <row r="222" spans="1:8" ht="24" x14ac:dyDescent="0.2">
      <c r="A222" s="47"/>
      <c r="B222" s="492"/>
      <c r="C222" s="493" t="s">
        <v>153</v>
      </c>
      <c r="D222" s="494" t="s">
        <v>154</v>
      </c>
      <c r="E222" s="495" t="s">
        <v>37</v>
      </c>
      <c r="F222" s="495">
        <v>0.51500000000000001</v>
      </c>
      <c r="G222" s="495">
        <f>TRUNC(20.83,2)</f>
        <v>20.83</v>
      </c>
      <c r="H222" s="219">
        <f>TRUNC(F222*G222,2)</f>
        <v>10.72</v>
      </c>
    </row>
    <row r="223" spans="1:8" x14ac:dyDescent="0.2">
      <c r="A223" s="47"/>
      <c r="B223" s="492"/>
      <c r="C223" s="493"/>
      <c r="D223" s="494"/>
      <c r="E223" s="495"/>
      <c r="F223" s="495" t="s">
        <v>38</v>
      </c>
      <c r="G223" s="495"/>
      <c r="H223" s="219">
        <f>TRUNC(SUM(H219:H222),2)</f>
        <v>22.99</v>
      </c>
    </row>
    <row r="224" spans="1:8" ht="36" x14ac:dyDescent="0.2">
      <c r="A224" s="47"/>
      <c r="B224" s="492" t="s">
        <v>1044</v>
      </c>
      <c r="C224" s="493" t="s">
        <v>155</v>
      </c>
      <c r="D224" s="494" t="s">
        <v>156</v>
      </c>
      <c r="E224" s="495" t="s">
        <v>22</v>
      </c>
      <c r="F224" s="495">
        <v>1</v>
      </c>
      <c r="G224" s="495">
        <f>TRUNC(H229,2)</f>
        <v>86.61</v>
      </c>
      <c r="H224" s="219">
        <f>TRUNC(F224*G224,2)</f>
        <v>86.61</v>
      </c>
    </row>
    <row r="225" spans="1:8" ht="36" x14ac:dyDescent="0.2">
      <c r="A225" s="47"/>
      <c r="B225" s="492"/>
      <c r="C225" s="493" t="s">
        <v>1246</v>
      </c>
      <c r="D225" s="494" t="s">
        <v>157</v>
      </c>
      <c r="E225" s="495" t="s">
        <v>22</v>
      </c>
      <c r="F225" s="495">
        <v>1</v>
      </c>
      <c r="G225" s="495">
        <f>TRUNC(31.75,2)</f>
        <v>31.75</v>
      </c>
      <c r="H225" s="219">
        <f>TRUNC(F225*G225,2)</f>
        <v>31.75</v>
      </c>
    </row>
    <row r="226" spans="1:8" ht="24" x14ac:dyDescent="0.2">
      <c r="A226" s="47"/>
      <c r="B226" s="492"/>
      <c r="C226" s="493" t="s">
        <v>1247</v>
      </c>
      <c r="D226" s="494" t="s">
        <v>158</v>
      </c>
      <c r="E226" s="495" t="s">
        <v>22</v>
      </c>
      <c r="F226" s="495">
        <v>1</v>
      </c>
      <c r="G226" s="495">
        <f>TRUNC(37.35,2)</f>
        <v>37.35</v>
      </c>
      <c r="H226" s="219">
        <f>TRUNC(F226*G226,2)</f>
        <v>37.35</v>
      </c>
    </row>
    <row r="227" spans="1:8" x14ac:dyDescent="0.2">
      <c r="A227" s="47"/>
      <c r="B227" s="492"/>
      <c r="C227" s="493" t="s">
        <v>1202</v>
      </c>
      <c r="D227" s="494" t="s">
        <v>49</v>
      </c>
      <c r="E227" s="495" t="s">
        <v>37</v>
      </c>
      <c r="F227" s="495">
        <v>0.47320000000000001</v>
      </c>
      <c r="G227" s="495">
        <f>TRUNC(27.97,2)</f>
        <v>27.97</v>
      </c>
      <c r="H227" s="219">
        <f>TRUNC(F227*G227,2)</f>
        <v>13.23</v>
      </c>
    </row>
    <row r="228" spans="1:8" ht="24" x14ac:dyDescent="0.2">
      <c r="A228" s="47"/>
      <c r="B228" s="492"/>
      <c r="C228" s="493" t="s">
        <v>1248</v>
      </c>
      <c r="D228" s="494" t="s">
        <v>50</v>
      </c>
      <c r="E228" s="495" t="s">
        <v>37</v>
      </c>
      <c r="F228" s="495">
        <v>0.19719999999999999</v>
      </c>
      <c r="G228" s="495">
        <f>TRUNC(21.74,2)</f>
        <v>21.74</v>
      </c>
      <c r="H228" s="219">
        <f>TRUNC(F228*G228,2)</f>
        <v>4.28</v>
      </c>
    </row>
    <row r="229" spans="1:8" ht="16.5" thickBot="1" x14ac:dyDescent="0.25">
      <c r="A229" s="47"/>
      <c r="B229" s="492"/>
      <c r="C229" s="493"/>
      <c r="D229" s="494"/>
      <c r="E229" s="495"/>
      <c r="F229" s="495" t="s">
        <v>38</v>
      </c>
      <c r="G229" s="495"/>
      <c r="H229" s="219">
        <f>TRUNC(SUM(H225:H228),2)</f>
        <v>86.61</v>
      </c>
    </row>
    <row r="230" spans="1:8" ht="36" x14ac:dyDescent="0.2">
      <c r="A230" s="47"/>
      <c r="B230" s="544"/>
      <c r="C230" s="509" t="s">
        <v>182</v>
      </c>
      <c r="D230" s="494" t="s">
        <v>183</v>
      </c>
      <c r="E230" s="547" t="s">
        <v>22</v>
      </c>
      <c r="F230" s="547">
        <v>1</v>
      </c>
      <c r="G230" s="547">
        <f>TRUNC(H235,2)</f>
        <v>12.65</v>
      </c>
      <c r="H230" s="378">
        <f>TRUNC(F230*G230,2)</f>
        <v>12.65</v>
      </c>
    </row>
    <row r="231" spans="1:8" ht="12" customHeight="1" x14ac:dyDescent="0.2">
      <c r="A231" s="47"/>
      <c r="B231" s="544"/>
      <c r="C231" s="528" t="s">
        <v>1250</v>
      </c>
      <c r="D231" s="494" t="s">
        <v>159</v>
      </c>
      <c r="E231" s="495" t="s">
        <v>22</v>
      </c>
      <c r="F231" s="495">
        <v>1</v>
      </c>
      <c r="G231" s="495">
        <f>TRUNC(8.6,2)</f>
        <v>8.6</v>
      </c>
      <c r="H231" s="379">
        <f>TRUNC(F231*G231,2)</f>
        <v>8.6</v>
      </c>
    </row>
    <row r="232" spans="1:8" ht="12" customHeight="1" x14ac:dyDescent="0.2">
      <c r="A232" s="47"/>
      <c r="B232" s="544"/>
      <c r="C232" s="528" t="s">
        <v>1251</v>
      </c>
      <c r="D232" s="494" t="s">
        <v>160</v>
      </c>
      <c r="E232" s="495" t="s">
        <v>22</v>
      </c>
      <c r="F232" s="495">
        <v>1</v>
      </c>
      <c r="G232" s="495">
        <f>TRUNC(0.78,2)</f>
        <v>0.78</v>
      </c>
      <c r="H232" s="379">
        <f>TRUNC(F232*G232,2)</f>
        <v>0.78</v>
      </c>
    </row>
    <row r="233" spans="1:8" ht="12" customHeight="1" x14ac:dyDescent="0.2">
      <c r="A233" s="47"/>
      <c r="B233" s="544"/>
      <c r="C233" s="528" t="s">
        <v>1202</v>
      </c>
      <c r="D233" s="494" t="s">
        <v>49</v>
      </c>
      <c r="E233" s="495" t="s">
        <v>37</v>
      </c>
      <c r="F233" s="495">
        <v>6.6000000000000003E-2</v>
      </c>
      <c r="G233" s="495">
        <f>TRUNC(27.97,2)</f>
        <v>27.97</v>
      </c>
      <c r="H233" s="379">
        <f>TRUNC(F233*G233,2)</f>
        <v>1.84</v>
      </c>
    </row>
    <row r="234" spans="1:8" ht="12" customHeight="1" x14ac:dyDescent="0.2">
      <c r="A234" s="47"/>
      <c r="B234" s="544"/>
      <c r="C234" s="528" t="s">
        <v>1248</v>
      </c>
      <c r="D234" s="494" t="s">
        <v>50</v>
      </c>
      <c r="E234" s="495" t="s">
        <v>37</v>
      </c>
      <c r="F234" s="495">
        <v>6.6000000000000003E-2</v>
      </c>
      <c r="G234" s="495">
        <f>TRUNC(21.74,2)</f>
        <v>21.74</v>
      </c>
      <c r="H234" s="379">
        <f>TRUNC(F234*G234,2)</f>
        <v>1.43</v>
      </c>
    </row>
    <row r="235" spans="1:8" ht="12" customHeight="1" x14ac:dyDescent="0.2">
      <c r="A235" s="47"/>
      <c r="B235" s="544"/>
      <c r="C235" s="528"/>
      <c r="D235" s="494"/>
      <c r="E235" s="495"/>
      <c r="F235" s="495" t="s">
        <v>38</v>
      </c>
      <c r="G235" s="495"/>
      <c r="H235" s="379">
        <f>TRUNC(SUM(H231:H234),2)</f>
        <v>12.65</v>
      </c>
    </row>
    <row r="236" spans="1:8" ht="12" customHeight="1" x14ac:dyDescent="0.2">
      <c r="A236" s="47"/>
      <c r="B236" s="544"/>
      <c r="C236" s="528" t="s">
        <v>1249</v>
      </c>
      <c r="D236" s="494" t="s">
        <v>161</v>
      </c>
      <c r="E236" s="495" t="s">
        <v>22</v>
      </c>
      <c r="F236" s="495">
        <v>1</v>
      </c>
      <c r="G236" s="495">
        <f>TRUNC(H241,2)</f>
        <v>14.04</v>
      </c>
      <c r="H236" s="379">
        <f>TRUNC(F236*G236,2)</f>
        <v>14.04</v>
      </c>
    </row>
    <row r="237" spans="1:8" ht="12" customHeight="1" x14ac:dyDescent="0.2">
      <c r="A237" s="47"/>
      <c r="B237" s="544"/>
      <c r="C237" s="528" t="s">
        <v>1250</v>
      </c>
      <c r="D237" s="494" t="s">
        <v>159</v>
      </c>
      <c r="E237" s="495" t="s">
        <v>22</v>
      </c>
      <c r="F237" s="495">
        <v>1</v>
      </c>
      <c r="G237" s="495">
        <f>TRUNC(8.6,2)</f>
        <v>8.6</v>
      </c>
      <c r="H237" s="379">
        <f>TRUNC(F237*G237,2)</f>
        <v>8.6</v>
      </c>
    </row>
    <row r="238" spans="1:8" ht="12" customHeight="1" x14ac:dyDescent="0.2">
      <c r="A238" s="47"/>
      <c r="B238" s="544"/>
      <c r="C238" s="528" t="s">
        <v>1252</v>
      </c>
      <c r="D238" s="494" t="s">
        <v>162</v>
      </c>
      <c r="E238" s="495" t="s">
        <v>22</v>
      </c>
      <c r="F238" s="495">
        <v>1</v>
      </c>
      <c r="G238" s="495">
        <f>TRUNC(0.93,2)</f>
        <v>0.93</v>
      </c>
      <c r="H238" s="379">
        <f>TRUNC(F238*G238,2)</f>
        <v>0.93</v>
      </c>
    </row>
    <row r="239" spans="1:8" ht="12" customHeight="1" x14ac:dyDescent="0.2">
      <c r="A239" s="47"/>
      <c r="B239" s="544"/>
      <c r="C239" s="528" t="s">
        <v>1202</v>
      </c>
      <c r="D239" s="494" t="s">
        <v>49</v>
      </c>
      <c r="E239" s="495" t="s">
        <v>37</v>
      </c>
      <c r="F239" s="495">
        <v>9.0999999999999998E-2</v>
      </c>
      <c r="G239" s="495">
        <f>TRUNC(27.97,2)</f>
        <v>27.97</v>
      </c>
      <c r="H239" s="379">
        <f>TRUNC(F239*G239,2)</f>
        <v>2.54</v>
      </c>
    </row>
    <row r="240" spans="1:8" ht="12" customHeight="1" x14ac:dyDescent="0.2">
      <c r="A240" s="47"/>
      <c r="B240" s="544"/>
      <c r="C240" s="528" t="s">
        <v>1248</v>
      </c>
      <c r="D240" s="494" t="s">
        <v>50</v>
      </c>
      <c r="E240" s="495" t="s">
        <v>37</v>
      </c>
      <c r="F240" s="495">
        <v>9.0999999999999998E-2</v>
      </c>
      <c r="G240" s="495">
        <f>TRUNC(21.74,2)</f>
        <v>21.74</v>
      </c>
      <c r="H240" s="379">
        <f>TRUNC(F240*G240,2)</f>
        <v>1.97</v>
      </c>
    </row>
    <row r="241" spans="1:8" ht="12" customHeight="1" x14ac:dyDescent="0.2">
      <c r="A241" s="47"/>
      <c r="B241" s="544"/>
      <c r="C241" s="528"/>
      <c r="D241" s="494"/>
      <c r="E241" s="495"/>
      <c r="F241" s="495" t="s">
        <v>38</v>
      </c>
      <c r="G241" s="495"/>
      <c r="H241" s="379">
        <f>TRUNC(SUM(H237:H240),2)</f>
        <v>14.04</v>
      </c>
    </row>
    <row r="242" spans="1:8" ht="12" customHeight="1" x14ac:dyDescent="0.2">
      <c r="A242" s="47"/>
      <c r="B242" s="544"/>
      <c r="C242" s="528"/>
      <c r="D242" s="494"/>
      <c r="E242" s="495"/>
      <c r="F242" s="495"/>
      <c r="G242" s="495"/>
      <c r="H242" s="379"/>
    </row>
    <row r="243" spans="1:8" x14ac:dyDescent="0.2">
      <c r="A243" s="47"/>
      <c r="B243" s="544" t="s">
        <v>1045</v>
      </c>
      <c r="C243" s="528"/>
      <c r="D243" s="763" t="s">
        <v>552</v>
      </c>
      <c r="E243" s="764"/>
      <c r="F243" s="764"/>
      <c r="G243" s="764"/>
      <c r="H243" s="380">
        <f>(G230+G236)/2</f>
        <v>13.344999999999999</v>
      </c>
    </row>
    <row r="244" spans="1:8" ht="16.5" thickBot="1" x14ac:dyDescent="0.25">
      <c r="A244" s="47"/>
      <c r="B244" s="544"/>
      <c r="C244" s="530"/>
      <c r="D244" s="548"/>
      <c r="E244" s="549"/>
      <c r="F244" s="549"/>
      <c r="G244" s="549"/>
      <c r="H244" s="381"/>
    </row>
    <row r="245" spans="1:8" x14ac:dyDescent="0.2">
      <c r="A245" s="47"/>
      <c r="B245" s="550"/>
      <c r="C245" s="523"/>
      <c r="D245" s="545"/>
      <c r="E245" s="546"/>
      <c r="F245" s="546"/>
      <c r="G245" s="546"/>
      <c r="H245" s="77"/>
    </row>
    <row r="246" spans="1:8" ht="24" x14ac:dyDescent="0.2">
      <c r="A246" s="47"/>
      <c r="B246" s="551" t="s">
        <v>1046</v>
      </c>
      <c r="C246" s="509" t="s">
        <v>1259</v>
      </c>
      <c r="D246" s="516" t="s">
        <v>1260</v>
      </c>
      <c r="E246" s="552" t="s">
        <v>22</v>
      </c>
      <c r="F246" s="552">
        <v>1</v>
      </c>
      <c r="G246" s="552">
        <f>TRUNC(H251,2)</f>
        <v>67.760000000000005</v>
      </c>
      <c r="H246" s="62">
        <f>TRUNC(F246*G246,2)</f>
        <v>67.760000000000005</v>
      </c>
    </row>
    <row r="247" spans="1:8" x14ac:dyDescent="0.2">
      <c r="A247" s="47"/>
      <c r="B247" s="551"/>
      <c r="C247" s="509" t="s">
        <v>1257</v>
      </c>
      <c r="D247" s="516" t="s">
        <v>68</v>
      </c>
      <c r="E247" s="552" t="s">
        <v>22</v>
      </c>
      <c r="F247" s="552">
        <v>1</v>
      </c>
      <c r="G247" s="552">
        <f>TRUNC(60.4,2)</f>
        <v>60.4</v>
      </c>
      <c r="H247" s="62">
        <f>TRUNC(F247*G247,2)</f>
        <v>60.4</v>
      </c>
    </row>
    <row r="248" spans="1:8" ht="36" x14ac:dyDescent="0.2">
      <c r="A248" s="47"/>
      <c r="B248" s="551"/>
      <c r="C248" s="509" t="s">
        <v>1261</v>
      </c>
      <c r="D248" s="516" t="s">
        <v>123</v>
      </c>
      <c r="E248" s="552" t="s">
        <v>22</v>
      </c>
      <c r="F248" s="552">
        <v>2</v>
      </c>
      <c r="G248" s="552">
        <f>TRUNC(1.2,2)</f>
        <v>1.2</v>
      </c>
      <c r="H248" s="62">
        <f>TRUNC(F248*G248,2)</f>
        <v>2.4</v>
      </c>
    </row>
    <row r="249" spans="1:8" x14ac:dyDescent="0.2">
      <c r="A249" s="47"/>
      <c r="B249" s="551"/>
      <c r="C249" s="509" t="s">
        <v>1202</v>
      </c>
      <c r="D249" s="516" t="s">
        <v>49</v>
      </c>
      <c r="E249" s="552" t="s">
        <v>37</v>
      </c>
      <c r="F249" s="552">
        <v>0.1</v>
      </c>
      <c r="G249" s="552">
        <f>TRUNC(27.97,2)</f>
        <v>27.97</v>
      </c>
      <c r="H249" s="62">
        <f>TRUNC(F249*G249,2)</f>
        <v>2.79</v>
      </c>
    </row>
    <row r="250" spans="1:8" ht="24" x14ac:dyDescent="0.2">
      <c r="A250" s="47"/>
      <c r="B250" s="551"/>
      <c r="C250" s="509" t="s">
        <v>1248</v>
      </c>
      <c r="D250" s="516" t="s">
        <v>50</v>
      </c>
      <c r="E250" s="552" t="s">
        <v>37</v>
      </c>
      <c r="F250" s="552">
        <v>0.1</v>
      </c>
      <c r="G250" s="552">
        <f>TRUNC(21.74,2)</f>
        <v>21.74</v>
      </c>
      <c r="H250" s="62">
        <f>TRUNC(F250*G250,2)</f>
        <v>2.17</v>
      </c>
    </row>
    <row r="251" spans="1:8" x14ac:dyDescent="0.2">
      <c r="A251" s="47"/>
      <c r="B251" s="551"/>
      <c r="C251" s="509"/>
      <c r="D251" s="516"/>
      <c r="E251" s="552"/>
      <c r="F251" s="552" t="s">
        <v>38</v>
      </c>
      <c r="G251" s="552"/>
      <c r="H251" s="62">
        <f>TRUNC(SUM(H247:H250),2)</f>
        <v>67.760000000000005</v>
      </c>
    </row>
    <row r="252" spans="1:8" ht="24" x14ac:dyDescent="0.2">
      <c r="A252" s="47"/>
      <c r="B252" s="551" t="s">
        <v>1047</v>
      </c>
      <c r="C252" s="509" t="s">
        <v>1254</v>
      </c>
      <c r="D252" s="516" t="s">
        <v>165</v>
      </c>
      <c r="E252" s="552" t="s">
        <v>22</v>
      </c>
      <c r="F252" s="552">
        <v>1</v>
      </c>
      <c r="G252" s="552">
        <f>TRUNC(H257,2)</f>
        <v>57.47</v>
      </c>
      <c r="H252" s="62">
        <f>TRUNC(F252*G252,2)</f>
        <v>57.47</v>
      </c>
    </row>
    <row r="253" spans="1:8" x14ac:dyDescent="0.2">
      <c r="A253" s="47"/>
      <c r="B253" s="551"/>
      <c r="C253" s="509" t="s">
        <v>1253</v>
      </c>
      <c r="D253" s="516" t="s">
        <v>48</v>
      </c>
      <c r="E253" s="552" t="s">
        <v>22</v>
      </c>
      <c r="F253" s="552">
        <v>1</v>
      </c>
      <c r="G253" s="552">
        <f>TRUNC(49.3,2)</f>
        <v>49.3</v>
      </c>
      <c r="H253" s="62">
        <f>TRUNC(F253*G253,2)</f>
        <v>49.3</v>
      </c>
    </row>
    <row r="254" spans="1:8" ht="36" x14ac:dyDescent="0.2">
      <c r="A254" s="47"/>
      <c r="B254" s="551"/>
      <c r="C254" s="509" t="s">
        <v>1251</v>
      </c>
      <c r="D254" s="516" t="s">
        <v>160</v>
      </c>
      <c r="E254" s="552" t="s">
        <v>22</v>
      </c>
      <c r="F254" s="552">
        <v>2</v>
      </c>
      <c r="G254" s="552">
        <f>TRUNC(0.78,2)</f>
        <v>0.78</v>
      </c>
      <c r="H254" s="62">
        <f>TRUNC(F254*G254,2)</f>
        <v>1.56</v>
      </c>
    </row>
    <row r="255" spans="1:8" x14ac:dyDescent="0.2">
      <c r="A255" s="47"/>
      <c r="B255" s="551"/>
      <c r="C255" s="509" t="s">
        <v>1202</v>
      </c>
      <c r="D255" s="516" t="s">
        <v>49</v>
      </c>
      <c r="E255" s="552" t="s">
        <v>37</v>
      </c>
      <c r="F255" s="552">
        <v>0.13300000000000001</v>
      </c>
      <c r="G255" s="552">
        <f>TRUNC(27.97,2)</f>
        <v>27.97</v>
      </c>
      <c r="H255" s="62">
        <f>TRUNC(F255*G255,2)</f>
        <v>3.72</v>
      </c>
    </row>
    <row r="256" spans="1:8" ht="24" x14ac:dyDescent="0.2">
      <c r="A256" s="47"/>
      <c r="B256" s="551"/>
      <c r="C256" s="509" t="s">
        <v>1248</v>
      </c>
      <c r="D256" s="516" t="s">
        <v>50</v>
      </c>
      <c r="E256" s="552" t="s">
        <v>37</v>
      </c>
      <c r="F256" s="552">
        <v>0.13300000000000001</v>
      </c>
      <c r="G256" s="552">
        <f>TRUNC(21.74,2)</f>
        <v>21.74</v>
      </c>
      <c r="H256" s="62">
        <f>TRUNC(F256*G256,2)</f>
        <v>2.89</v>
      </c>
    </row>
    <row r="257" spans="1:8" x14ac:dyDescent="0.2">
      <c r="A257" s="47"/>
      <c r="B257" s="551"/>
      <c r="C257" s="509"/>
      <c r="D257" s="516"/>
      <c r="E257" s="552"/>
      <c r="F257" s="552" t="s">
        <v>38</v>
      </c>
      <c r="G257" s="552"/>
      <c r="H257" s="62">
        <f>TRUNC(SUM(H253:H256),2)</f>
        <v>57.47</v>
      </c>
    </row>
    <row r="258" spans="1:8" ht="24" x14ac:dyDescent="0.2">
      <c r="A258" s="47"/>
      <c r="B258" s="551" t="s">
        <v>1048</v>
      </c>
      <c r="C258" s="509" t="s">
        <v>1255</v>
      </c>
      <c r="D258" s="516" t="s">
        <v>167</v>
      </c>
      <c r="E258" s="552" t="s">
        <v>22</v>
      </c>
      <c r="F258" s="552">
        <v>1</v>
      </c>
      <c r="G258" s="552">
        <f>TRUNC(H263,2)</f>
        <v>60.2</v>
      </c>
      <c r="H258" s="62">
        <f>TRUNC(F258*G258,2)</f>
        <v>60.2</v>
      </c>
    </row>
    <row r="259" spans="1:8" x14ac:dyDescent="0.2">
      <c r="A259" s="47"/>
      <c r="B259" s="551"/>
      <c r="C259" s="509" t="s">
        <v>1253</v>
      </c>
      <c r="D259" s="516" t="s">
        <v>48</v>
      </c>
      <c r="E259" s="552" t="s">
        <v>22</v>
      </c>
      <c r="F259" s="552">
        <v>1</v>
      </c>
      <c r="G259" s="552">
        <f>TRUNC(49.3,2)</f>
        <v>49.3</v>
      </c>
      <c r="H259" s="62">
        <f>TRUNC(F259*G259,2)</f>
        <v>49.3</v>
      </c>
    </row>
    <row r="260" spans="1:8" ht="36" x14ac:dyDescent="0.2">
      <c r="A260" s="47"/>
      <c r="B260" s="551"/>
      <c r="C260" s="509" t="s">
        <v>1252</v>
      </c>
      <c r="D260" s="516" t="s">
        <v>162</v>
      </c>
      <c r="E260" s="552" t="s">
        <v>22</v>
      </c>
      <c r="F260" s="552">
        <v>2</v>
      </c>
      <c r="G260" s="552">
        <f>TRUNC(0.93,2)</f>
        <v>0.93</v>
      </c>
      <c r="H260" s="62">
        <f>TRUNC(F260*G260,2)</f>
        <v>1.86</v>
      </c>
    </row>
    <row r="261" spans="1:8" x14ac:dyDescent="0.2">
      <c r="A261" s="47"/>
      <c r="B261" s="551"/>
      <c r="C261" s="509" t="s">
        <v>1202</v>
      </c>
      <c r="D261" s="516" t="s">
        <v>49</v>
      </c>
      <c r="E261" s="552" t="s">
        <v>37</v>
      </c>
      <c r="F261" s="552">
        <v>0.182</v>
      </c>
      <c r="G261" s="552">
        <f>TRUNC(27.97,2)</f>
        <v>27.97</v>
      </c>
      <c r="H261" s="62">
        <f>TRUNC(F261*G261,2)</f>
        <v>5.09</v>
      </c>
    </row>
    <row r="262" spans="1:8" ht="24" x14ac:dyDescent="0.2">
      <c r="A262" s="47"/>
      <c r="B262" s="551"/>
      <c r="C262" s="509" t="s">
        <v>1248</v>
      </c>
      <c r="D262" s="516" t="s">
        <v>50</v>
      </c>
      <c r="E262" s="552" t="s">
        <v>37</v>
      </c>
      <c r="F262" s="552">
        <v>0.182</v>
      </c>
      <c r="G262" s="552">
        <f>TRUNC(21.74,2)</f>
        <v>21.74</v>
      </c>
      <c r="H262" s="62">
        <f>TRUNC(F262*G262,2)</f>
        <v>3.95</v>
      </c>
    </row>
    <row r="263" spans="1:8" x14ac:dyDescent="0.2">
      <c r="A263" s="47"/>
      <c r="B263" s="551"/>
      <c r="C263" s="509"/>
      <c r="D263" s="516"/>
      <c r="E263" s="552"/>
      <c r="F263" s="552" t="s">
        <v>38</v>
      </c>
      <c r="G263" s="552"/>
      <c r="H263" s="62">
        <f>TRUNC(SUM(H259:H262),2)</f>
        <v>60.2</v>
      </c>
    </row>
    <row r="264" spans="1:8" ht="24" x14ac:dyDescent="0.2">
      <c r="A264" s="47"/>
      <c r="B264" s="551" t="s">
        <v>1049</v>
      </c>
      <c r="C264" s="509" t="s">
        <v>1256</v>
      </c>
      <c r="D264" s="516" t="s">
        <v>185</v>
      </c>
      <c r="E264" s="552" t="s">
        <v>22</v>
      </c>
      <c r="F264" s="552">
        <v>1</v>
      </c>
      <c r="G264" s="552">
        <f>TRUNC(H269,2)</f>
        <v>83.6</v>
      </c>
      <c r="H264" s="62">
        <f>TRUNC(F264*G264,2)</f>
        <v>83.6</v>
      </c>
    </row>
    <row r="265" spans="1:8" x14ac:dyDescent="0.2">
      <c r="A265" s="47"/>
      <c r="B265" s="551"/>
      <c r="C265" s="509" t="s">
        <v>1257</v>
      </c>
      <c r="D265" s="516" t="s">
        <v>68</v>
      </c>
      <c r="E265" s="552" t="s">
        <v>22</v>
      </c>
      <c r="F265" s="552">
        <v>1</v>
      </c>
      <c r="G265" s="552">
        <f>TRUNC(60.4,2)</f>
        <v>60.4</v>
      </c>
      <c r="H265" s="62">
        <f>TRUNC(F265*G265,2)</f>
        <v>60.4</v>
      </c>
    </row>
    <row r="266" spans="1:8" ht="36" x14ac:dyDescent="0.2">
      <c r="A266" s="47"/>
      <c r="B266" s="551"/>
      <c r="C266" s="509" t="s">
        <v>1258</v>
      </c>
      <c r="D266" s="516" t="s">
        <v>168</v>
      </c>
      <c r="E266" s="552" t="s">
        <v>22</v>
      </c>
      <c r="F266" s="552">
        <v>3</v>
      </c>
      <c r="G266" s="552">
        <f>TRUNC(1.01,2)</f>
        <v>1.01</v>
      </c>
      <c r="H266" s="62">
        <f>TRUNC(F266*G266,2)</f>
        <v>3.03</v>
      </c>
    </row>
    <row r="267" spans="1:8" x14ac:dyDescent="0.2">
      <c r="A267" s="47"/>
      <c r="B267" s="551"/>
      <c r="C267" s="509" t="s">
        <v>1202</v>
      </c>
      <c r="D267" s="516" t="s">
        <v>49</v>
      </c>
      <c r="E267" s="552" t="s">
        <v>37</v>
      </c>
      <c r="F267" s="552">
        <v>0.40600000000000003</v>
      </c>
      <c r="G267" s="552">
        <f>TRUNC(27.97,2)</f>
        <v>27.97</v>
      </c>
      <c r="H267" s="62">
        <f>TRUNC(F267*G267,2)</f>
        <v>11.35</v>
      </c>
    </row>
    <row r="268" spans="1:8" ht="24" x14ac:dyDescent="0.2">
      <c r="A268" s="47"/>
      <c r="B268" s="551"/>
      <c r="C268" s="509" t="s">
        <v>1248</v>
      </c>
      <c r="D268" s="516" t="s">
        <v>50</v>
      </c>
      <c r="E268" s="552" t="s">
        <v>37</v>
      </c>
      <c r="F268" s="552">
        <v>0.40600000000000003</v>
      </c>
      <c r="G268" s="552">
        <f>TRUNC(21.74,2)</f>
        <v>21.74</v>
      </c>
      <c r="H268" s="62">
        <f>TRUNC(F268*G268,2)</f>
        <v>8.82</v>
      </c>
    </row>
    <row r="269" spans="1:8" ht="16.5" thickBot="1" x14ac:dyDescent="0.25">
      <c r="A269" s="47"/>
      <c r="B269" s="551"/>
      <c r="C269" s="509"/>
      <c r="D269" s="516"/>
      <c r="E269" s="552"/>
      <c r="F269" s="552" t="s">
        <v>38</v>
      </c>
      <c r="G269" s="552"/>
      <c r="H269" s="62">
        <f>TRUNC(SUM(H265:H268),2)</f>
        <v>83.6</v>
      </c>
    </row>
    <row r="270" spans="1:8" ht="24" x14ac:dyDescent="0.2">
      <c r="A270" s="47"/>
      <c r="B270" s="544"/>
      <c r="C270" s="536" t="s">
        <v>1259</v>
      </c>
      <c r="D270" s="537" t="s">
        <v>1260</v>
      </c>
      <c r="E270" s="547" t="s">
        <v>22</v>
      </c>
      <c r="F270" s="547">
        <v>1</v>
      </c>
      <c r="G270" s="547">
        <f>TRUNC(H275,2)</f>
        <v>92.22</v>
      </c>
      <c r="H270" s="378">
        <f>TRUNC(F270*G270,2)</f>
        <v>92.22</v>
      </c>
    </row>
    <row r="271" spans="1:8" x14ac:dyDescent="0.2">
      <c r="A271" s="47"/>
      <c r="B271" s="544"/>
      <c r="C271" s="528" t="s">
        <v>1257</v>
      </c>
      <c r="D271" s="494" t="s">
        <v>68</v>
      </c>
      <c r="E271" s="495" t="s">
        <v>22</v>
      </c>
      <c r="F271" s="495">
        <v>1</v>
      </c>
      <c r="G271" s="495">
        <f>TRUNC(60.4,2)</f>
        <v>60.4</v>
      </c>
      <c r="H271" s="379">
        <f>TRUNC(F271*G271,2)</f>
        <v>60.4</v>
      </c>
    </row>
    <row r="272" spans="1:8" ht="36" x14ac:dyDescent="0.2">
      <c r="A272" s="47"/>
      <c r="B272" s="544"/>
      <c r="C272" s="528" t="s">
        <v>1261</v>
      </c>
      <c r="D272" s="494" t="s">
        <v>123</v>
      </c>
      <c r="E272" s="495" t="s">
        <v>22</v>
      </c>
      <c r="F272" s="495">
        <v>3</v>
      </c>
      <c r="G272" s="495">
        <f>TRUNC(1.2,2)</f>
        <v>1.2</v>
      </c>
      <c r="H272" s="379">
        <f>TRUNC(F272*G272,2)</f>
        <v>3.6</v>
      </c>
    </row>
    <row r="273" spans="1:8" x14ac:dyDescent="0.2">
      <c r="A273" s="47"/>
      <c r="B273" s="544"/>
      <c r="C273" s="528" t="s">
        <v>1202</v>
      </c>
      <c r="D273" s="494" t="s">
        <v>49</v>
      </c>
      <c r="E273" s="495" t="s">
        <v>37</v>
      </c>
      <c r="F273" s="495">
        <v>0.56799999999999995</v>
      </c>
      <c r="G273" s="495">
        <f>TRUNC(27.97,2)</f>
        <v>27.97</v>
      </c>
      <c r="H273" s="379">
        <f>TRUNC(F273*G273,2)</f>
        <v>15.88</v>
      </c>
    </row>
    <row r="274" spans="1:8" ht="24" x14ac:dyDescent="0.2">
      <c r="A274" s="47"/>
      <c r="B274" s="544"/>
      <c r="C274" s="528" t="s">
        <v>1248</v>
      </c>
      <c r="D274" s="494" t="s">
        <v>50</v>
      </c>
      <c r="E274" s="495" t="s">
        <v>37</v>
      </c>
      <c r="F274" s="495">
        <v>0.56799999999999995</v>
      </c>
      <c r="G274" s="495">
        <f>TRUNC(21.74,2)</f>
        <v>21.74</v>
      </c>
      <c r="H274" s="379">
        <f>TRUNC(F274*G274,2)</f>
        <v>12.34</v>
      </c>
    </row>
    <row r="275" spans="1:8" x14ac:dyDescent="0.2">
      <c r="A275" s="47"/>
      <c r="B275" s="544"/>
      <c r="C275" s="528"/>
      <c r="D275" s="494"/>
      <c r="E275" s="495"/>
      <c r="F275" s="495" t="s">
        <v>38</v>
      </c>
      <c r="G275" s="495"/>
      <c r="H275" s="379">
        <f>TRUNC(SUM(H271:H274),2)</f>
        <v>92.22</v>
      </c>
    </row>
    <row r="276" spans="1:8" x14ac:dyDescent="0.2">
      <c r="A276" s="47"/>
      <c r="B276" s="544"/>
      <c r="C276" s="528"/>
      <c r="D276" s="494"/>
      <c r="E276" s="495"/>
      <c r="F276" s="495"/>
      <c r="G276" s="495"/>
      <c r="H276" s="379"/>
    </row>
    <row r="277" spans="1:8" x14ac:dyDescent="0.2">
      <c r="A277" s="47"/>
      <c r="B277" s="544" t="s">
        <v>1050</v>
      </c>
      <c r="C277" s="528"/>
      <c r="D277" s="763" t="s">
        <v>554</v>
      </c>
      <c r="E277" s="764"/>
      <c r="F277" s="764"/>
      <c r="G277" s="765"/>
      <c r="H277" s="382">
        <f>G270*1.1</f>
        <v>101.44200000000001</v>
      </c>
    </row>
    <row r="278" spans="1:8" ht="16.5" thickBot="1" x14ac:dyDescent="0.25">
      <c r="A278" s="47"/>
      <c r="B278" s="554"/>
      <c r="C278" s="555"/>
      <c r="D278" s="545"/>
      <c r="E278" s="546"/>
      <c r="F278" s="546"/>
      <c r="G278" s="546"/>
      <c r="H278" s="383"/>
    </row>
    <row r="279" spans="1:8" x14ac:dyDescent="0.2">
      <c r="A279" s="47"/>
      <c r="B279" s="556"/>
      <c r="C279" s="557"/>
      <c r="D279" s="537"/>
      <c r="E279" s="547"/>
      <c r="F279" s="547"/>
      <c r="G279" s="547"/>
      <c r="H279" s="282"/>
    </row>
    <row r="280" spans="1:8" ht="60" x14ac:dyDescent="0.2">
      <c r="A280" s="47"/>
      <c r="B280" s="556" t="s">
        <v>1051</v>
      </c>
      <c r="C280" s="509" t="s">
        <v>1262</v>
      </c>
      <c r="D280" s="516" t="s">
        <v>555</v>
      </c>
      <c r="E280" s="552" t="s">
        <v>22</v>
      </c>
      <c r="F280" s="552">
        <v>1</v>
      </c>
      <c r="G280" s="552">
        <f>TRUNC(H284,2)</f>
        <v>380.74</v>
      </c>
      <c r="H280" s="62">
        <f>TRUNC(F280*G280,2)</f>
        <v>380.74</v>
      </c>
    </row>
    <row r="281" spans="1:8" ht="36" x14ac:dyDescent="0.2">
      <c r="A281" s="47"/>
      <c r="B281" s="556"/>
      <c r="C281" s="509" t="s">
        <v>1263</v>
      </c>
      <c r="D281" s="516" t="s">
        <v>170</v>
      </c>
      <c r="E281" s="552" t="s">
        <v>22</v>
      </c>
      <c r="F281" s="552">
        <v>1</v>
      </c>
      <c r="G281" s="552">
        <f>TRUNC(231.61,2)</f>
        <v>231.61</v>
      </c>
      <c r="H281" s="62">
        <f>TRUNC(F281*G281,2)</f>
        <v>231.61</v>
      </c>
    </row>
    <row r="282" spans="1:8" x14ac:dyDescent="0.2">
      <c r="A282" s="47"/>
      <c r="B282" s="556"/>
      <c r="C282" s="509" t="s">
        <v>1202</v>
      </c>
      <c r="D282" s="516" t="s">
        <v>49</v>
      </c>
      <c r="E282" s="552" t="s">
        <v>37</v>
      </c>
      <c r="F282" s="552">
        <v>3</v>
      </c>
      <c r="G282" s="552">
        <f>TRUNC(27.97,2)</f>
        <v>27.97</v>
      </c>
      <c r="H282" s="62">
        <f>TRUNC(F282*G282,2)</f>
        <v>83.91</v>
      </c>
    </row>
    <row r="283" spans="1:8" ht="24" x14ac:dyDescent="0.2">
      <c r="A283" s="47"/>
      <c r="B283" s="556"/>
      <c r="C283" s="509" t="s">
        <v>1248</v>
      </c>
      <c r="D283" s="516" t="s">
        <v>50</v>
      </c>
      <c r="E283" s="552" t="s">
        <v>37</v>
      </c>
      <c r="F283" s="552">
        <v>3</v>
      </c>
      <c r="G283" s="552">
        <f>TRUNC(21.74,2)</f>
        <v>21.74</v>
      </c>
      <c r="H283" s="62">
        <f>TRUNC(F283*G283,2)</f>
        <v>65.22</v>
      </c>
    </row>
    <row r="284" spans="1:8" x14ac:dyDescent="0.2">
      <c r="A284" s="47"/>
      <c r="B284" s="556"/>
      <c r="C284" s="509"/>
      <c r="D284" s="516"/>
      <c r="E284" s="552"/>
      <c r="F284" s="552" t="s">
        <v>38</v>
      </c>
      <c r="G284" s="552"/>
      <c r="H284" s="62">
        <f>TRUNC(SUM(H281:H283),2)</f>
        <v>380.74</v>
      </c>
    </row>
    <row r="285" spans="1:8" ht="60" x14ac:dyDescent="0.2">
      <c r="A285" s="47"/>
      <c r="B285" s="556" t="s">
        <v>1052</v>
      </c>
      <c r="C285" s="509" t="s">
        <v>1264</v>
      </c>
      <c r="D285" s="516" t="s">
        <v>556</v>
      </c>
      <c r="E285" s="552" t="s">
        <v>22</v>
      </c>
      <c r="F285" s="552">
        <v>1</v>
      </c>
      <c r="G285" s="552">
        <f>TRUNC(H289,2)</f>
        <v>680.69</v>
      </c>
      <c r="H285" s="62">
        <f>TRUNC(F285*G285,2)</f>
        <v>680.69</v>
      </c>
    </row>
    <row r="286" spans="1:8" ht="36" x14ac:dyDescent="0.2">
      <c r="A286" s="47"/>
      <c r="B286" s="556"/>
      <c r="C286" s="509" t="s">
        <v>1265</v>
      </c>
      <c r="D286" s="516" t="s">
        <v>172</v>
      </c>
      <c r="E286" s="552" t="s">
        <v>22</v>
      </c>
      <c r="F286" s="552">
        <v>1</v>
      </c>
      <c r="G286" s="552">
        <f>TRUNC(506.71,2)</f>
        <v>506.71</v>
      </c>
      <c r="H286" s="62">
        <f>TRUNC(F286*G286,2)</f>
        <v>506.71</v>
      </c>
    </row>
    <row r="287" spans="1:8" x14ac:dyDescent="0.2">
      <c r="A287" s="47"/>
      <c r="B287" s="556"/>
      <c r="C287" s="509" t="s">
        <v>1202</v>
      </c>
      <c r="D287" s="516" t="s">
        <v>49</v>
      </c>
      <c r="E287" s="552" t="s">
        <v>37</v>
      </c>
      <c r="F287" s="552">
        <v>3.5</v>
      </c>
      <c r="G287" s="552">
        <f>TRUNC(27.97,2)</f>
        <v>27.97</v>
      </c>
      <c r="H287" s="62">
        <f>TRUNC(F287*G287,2)</f>
        <v>97.89</v>
      </c>
    </row>
    <row r="288" spans="1:8" ht="24" x14ac:dyDescent="0.2">
      <c r="A288" s="47"/>
      <c r="B288" s="556"/>
      <c r="C288" s="509" t="s">
        <v>1248</v>
      </c>
      <c r="D288" s="516" t="s">
        <v>50</v>
      </c>
      <c r="E288" s="552" t="s">
        <v>37</v>
      </c>
      <c r="F288" s="552">
        <v>3.5</v>
      </c>
      <c r="G288" s="552">
        <f>TRUNC(21.74,2)</f>
        <v>21.74</v>
      </c>
      <c r="H288" s="62">
        <f>TRUNC(F288*G288,2)</f>
        <v>76.09</v>
      </c>
    </row>
    <row r="289" spans="1:8" x14ac:dyDescent="0.2">
      <c r="A289" s="47"/>
      <c r="B289" s="556"/>
      <c r="C289" s="509"/>
      <c r="D289" s="516"/>
      <c r="E289" s="552"/>
      <c r="F289" s="552" t="s">
        <v>38</v>
      </c>
      <c r="G289" s="552"/>
      <c r="H289" s="62">
        <f>TRUNC(SUM(H286:H288),2)</f>
        <v>680.69</v>
      </c>
    </row>
    <row r="290" spans="1:8" ht="84" x14ac:dyDescent="0.2">
      <c r="A290" s="47"/>
      <c r="B290" s="556" t="s">
        <v>1053</v>
      </c>
      <c r="C290" s="509" t="s">
        <v>190</v>
      </c>
      <c r="D290" s="516" t="s">
        <v>1586</v>
      </c>
      <c r="E290" s="552" t="s">
        <v>22</v>
      </c>
      <c r="F290" s="552">
        <v>1</v>
      </c>
      <c r="G290" s="552">
        <f>TRUNC(H311,2)</f>
        <v>974.33</v>
      </c>
      <c r="H290" s="62">
        <f t="shared" ref="H290:H296" si="9">TRUNC(F290*G290,2)</f>
        <v>974.33</v>
      </c>
    </row>
    <row r="291" spans="1:8" ht="24" x14ac:dyDescent="0.2">
      <c r="A291" s="47"/>
      <c r="B291" s="556"/>
      <c r="C291" s="509" t="s">
        <v>131</v>
      </c>
      <c r="D291" s="516" t="s">
        <v>557</v>
      </c>
      <c r="E291" s="552" t="s">
        <v>22</v>
      </c>
      <c r="F291" s="552">
        <v>2</v>
      </c>
      <c r="G291" s="552">
        <f>TRUNC(0.62,2)</f>
        <v>0.62</v>
      </c>
      <c r="H291" s="62">
        <f t="shared" si="9"/>
        <v>1.24</v>
      </c>
    </row>
    <row r="292" spans="1:8" x14ac:dyDescent="0.2">
      <c r="A292" s="47"/>
      <c r="B292" s="556"/>
      <c r="C292" s="509" t="s">
        <v>126</v>
      </c>
      <c r="D292" s="516" t="s">
        <v>558</v>
      </c>
      <c r="E292" s="552" t="s">
        <v>22</v>
      </c>
      <c r="F292" s="552">
        <v>1</v>
      </c>
      <c r="G292" s="552">
        <f>TRUNC(5.87,2)</f>
        <v>5.87</v>
      </c>
      <c r="H292" s="62">
        <f t="shared" si="9"/>
        <v>5.87</v>
      </c>
    </row>
    <row r="293" spans="1:8" ht="24" x14ac:dyDescent="0.2">
      <c r="A293" s="47"/>
      <c r="B293" s="556"/>
      <c r="C293" s="509" t="s">
        <v>127</v>
      </c>
      <c r="D293" s="516" t="s">
        <v>128</v>
      </c>
      <c r="E293" s="552" t="s">
        <v>23</v>
      </c>
      <c r="F293" s="552">
        <v>0.15</v>
      </c>
      <c r="G293" s="552">
        <f>TRUNC(40.7168,2)</f>
        <v>40.71</v>
      </c>
      <c r="H293" s="62">
        <f t="shared" si="9"/>
        <v>6.1</v>
      </c>
    </row>
    <row r="294" spans="1:8" ht="24" x14ac:dyDescent="0.2">
      <c r="A294" s="47"/>
      <c r="B294" s="556"/>
      <c r="C294" s="509" t="s">
        <v>133</v>
      </c>
      <c r="D294" s="516" t="s">
        <v>559</v>
      </c>
      <c r="E294" s="552" t="s">
        <v>22</v>
      </c>
      <c r="F294" s="552">
        <v>2</v>
      </c>
      <c r="G294" s="552">
        <f>TRUNC(0.71,2)</f>
        <v>0.71</v>
      </c>
      <c r="H294" s="62">
        <f t="shared" si="9"/>
        <v>1.42</v>
      </c>
    </row>
    <row r="295" spans="1:8" ht="24" x14ac:dyDescent="0.2">
      <c r="A295" s="47"/>
      <c r="B295" s="556"/>
      <c r="C295" s="509" t="s">
        <v>130</v>
      </c>
      <c r="D295" s="516" t="s">
        <v>560</v>
      </c>
      <c r="E295" s="552" t="s">
        <v>22</v>
      </c>
      <c r="F295" s="552">
        <v>2</v>
      </c>
      <c r="G295" s="552">
        <f>TRUNC(0.41,2)</f>
        <v>0.41</v>
      </c>
      <c r="H295" s="62">
        <f t="shared" si="9"/>
        <v>0.82</v>
      </c>
    </row>
    <row r="296" spans="1:8" ht="24" x14ac:dyDescent="0.2">
      <c r="A296" s="47"/>
      <c r="B296" s="556"/>
      <c r="C296" s="509" t="s">
        <v>140</v>
      </c>
      <c r="D296" s="516" t="s">
        <v>141</v>
      </c>
      <c r="E296" s="552" t="s">
        <v>22</v>
      </c>
      <c r="F296" s="552">
        <v>0</v>
      </c>
      <c r="G296" s="552">
        <f>TRUNC(23.81,2)</f>
        <v>23.81</v>
      </c>
      <c r="H296" s="62">
        <f t="shared" si="9"/>
        <v>0</v>
      </c>
    </row>
    <row r="297" spans="1:8" ht="36" x14ac:dyDescent="0.2">
      <c r="A297" s="47"/>
      <c r="B297" s="556"/>
      <c r="C297" s="504" t="s">
        <v>146</v>
      </c>
      <c r="D297" s="516" t="s">
        <v>147</v>
      </c>
      <c r="E297" s="552" t="s">
        <v>22</v>
      </c>
      <c r="F297" s="552">
        <v>1</v>
      </c>
      <c r="G297" s="552">
        <v>39.04</v>
      </c>
      <c r="H297" s="62">
        <f t="shared" ref="H297" si="10">TRUNC(F297*G297,2)</f>
        <v>39.04</v>
      </c>
    </row>
    <row r="298" spans="1:8" x14ac:dyDescent="0.2">
      <c r="A298" s="47"/>
      <c r="B298" s="556"/>
      <c r="C298" s="509" t="s">
        <v>132</v>
      </c>
      <c r="D298" s="516" t="s">
        <v>561</v>
      </c>
      <c r="E298" s="552" t="s">
        <v>22</v>
      </c>
      <c r="F298" s="552">
        <v>1</v>
      </c>
      <c r="G298" s="552">
        <f>TRUNC(21.03,2)</f>
        <v>21.03</v>
      </c>
      <c r="H298" s="62">
        <f t="shared" ref="H298:H310" si="11">TRUNC(F298*G298,2)</f>
        <v>21.03</v>
      </c>
    </row>
    <row r="299" spans="1:8" ht="24" x14ac:dyDescent="0.2">
      <c r="A299" s="47"/>
      <c r="B299" s="556"/>
      <c r="C299" s="509" t="s">
        <v>142</v>
      </c>
      <c r="D299" s="516" t="s">
        <v>143</v>
      </c>
      <c r="E299" s="552" t="s">
        <v>22</v>
      </c>
      <c r="F299" s="552">
        <v>1</v>
      </c>
      <c r="G299" s="552">
        <f>TRUNC(26.0015,2)</f>
        <v>26</v>
      </c>
      <c r="H299" s="62">
        <f t="shared" si="11"/>
        <v>26</v>
      </c>
    </row>
    <row r="300" spans="1:8" x14ac:dyDescent="0.2">
      <c r="A300" s="47"/>
      <c r="B300" s="556"/>
      <c r="C300" s="509" t="s">
        <v>134</v>
      </c>
      <c r="D300" s="516" t="s">
        <v>135</v>
      </c>
      <c r="E300" s="552" t="s">
        <v>22</v>
      </c>
      <c r="F300" s="552">
        <v>3</v>
      </c>
      <c r="G300" s="552">
        <f>TRUNC(3.53,2)</f>
        <v>3.53</v>
      </c>
      <c r="H300" s="62">
        <f t="shared" si="11"/>
        <v>10.59</v>
      </c>
    </row>
    <row r="301" spans="1:8" x14ac:dyDescent="0.2">
      <c r="A301" s="47"/>
      <c r="B301" s="556"/>
      <c r="C301" s="509" t="s">
        <v>124</v>
      </c>
      <c r="D301" s="516" t="s">
        <v>125</v>
      </c>
      <c r="E301" s="552" t="s">
        <v>22</v>
      </c>
      <c r="F301" s="552">
        <v>1</v>
      </c>
      <c r="G301" s="552">
        <f>TRUNC(23.91,2)</f>
        <v>23.91</v>
      </c>
      <c r="H301" s="62">
        <f t="shared" si="11"/>
        <v>23.91</v>
      </c>
    </row>
    <row r="302" spans="1:8" ht="24" x14ac:dyDescent="0.2">
      <c r="A302" s="47"/>
      <c r="B302" s="556"/>
      <c r="C302" s="509" t="s">
        <v>136</v>
      </c>
      <c r="D302" s="516" t="s">
        <v>137</v>
      </c>
      <c r="E302" s="552" t="s">
        <v>22</v>
      </c>
      <c r="F302" s="552">
        <v>1</v>
      </c>
      <c r="G302" s="552">
        <f>TRUNC(3.4004,2)</f>
        <v>3.4</v>
      </c>
      <c r="H302" s="62">
        <f t="shared" si="11"/>
        <v>3.4</v>
      </c>
    </row>
    <row r="303" spans="1:8" ht="36" x14ac:dyDescent="0.2">
      <c r="A303" s="47"/>
      <c r="B303" s="556"/>
      <c r="C303" s="509" t="s">
        <v>138</v>
      </c>
      <c r="D303" s="516" t="s">
        <v>139</v>
      </c>
      <c r="E303" s="552" t="s">
        <v>22</v>
      </c>
      <c r="F303" s="552">
        <v>0</v>
      </c>
      <c r="G303" s="552">
        <f>TRUNC(51.4,2)</f>
        <v>51.4</v>
      </c>
      <c r="H303" s="62">
        <f t="shared" si="11"/>
        <v>0</v>
      </c>
    </row>
    <row r="304" spans="1:8" x14ac:dyDescent="0.25">
      <c r="A304" s="47"/>
      <c r="B304" s="556"/>
      <c r="C304" s="504" t="s">
        <v>96</v>
      </c>
      <c r="D304" s="384" t="s">
        <v>145</v>
      </c>
      <c r="E304" s="385" t="s">
        <v>22</v>
      </c>
      <c r="F304" s="552">
        <v>1</v>
      </c>
      <c r="G304" s="552">
        <v>58.79</v>
      </c>
      <c r="H304" s="62">
        <f t="shared" si="11"/>
        <v>58.79</v>
      </c>
    </row>
    <row r="305" spans="1:8" ht="36" x14ac:dyDescent="0.2">
      <c r="A305" s="47"/>
      <c r="B305" s="556"/>
      <c r="C305" s="509" t="s">
        <v>129</v>
      </c>
      <c r="D305" s="516" t="s">
        <v>562</v>
      </c>
      <c r="E305" s="552" t="s">
        <v>22</v>
      </c>
      <c r="F305" s="552">
        <v>0</v>
      </c>
      <c r="G305" s="552">
        <f>TRUNC(4.41,2)</f>
        <v>4.41</v>
      </c>
      <c r="H305" s="62">
        <f t="shared" si="11"/>
        <v>0</v>
      </c>
    </row>
    <row r="306" spans="1:8" ht="24" x14ac:dyDescent="0.2">
      <c r="A306" s="47"/>
      <c r="B306" s="556"/>
      <c r="C306" s="509" t="s">
        <v>144</v>
      </c>
      <c r="D306" s="516" t="s">
        <v>563</v>
      </c>
      <c r="E306" s="552" t="s">
        <v>22</v>
      </c>
      <c r="F306" s="552">
        <v>2</v>
      </c>
      <c r="G306" s="552">
        <v>14.07</v>
      </c>
      <c r="H306" s="62">
        <f t="shared" si="11"/>
        <v>28.14</v>
      </c>
    </row>
    <row r="307" spans="1:8" ht="24" x14ac:dyDescent="0.2">
      <c r="A307" s="47"/>
      <c r="B307" s="556"/>
      <c r="C307" s="509" t="s">
        <v>35</v>
      </c>
      <c r="D307" s="516" t="s">
        <v>36</v>
      </c>
      <c r="E307" s="552" t="s">
        <v>37</v>
      </c>
      <c r="F307" s="552">
        <v>17.510000000000002</v>
      </c>
      <c r="G307" s="552">
        <f>TRUNC(15.09,2)</f>
        <v>15.09</v>
      </c>
      <c r="H307" s="62">
        <f t="shared" si="11"/>
        <v>264.22000000000003</v>
      </c>
    </row>
    <row r="308" spans="1:8" ht="24" x14ac:dyDescent="0.2">
      <c r="A308" s="47"/>
      <c r="B308" s="556"/>
      <c r="C308" s="509" t="s">
        <v>153</v>
      </c>
      <c r="D308" s="516" t="s">
        <v>154</v>
      </c>
      <c r="E308" s="552" t="s">
        <v>37</v>
      </c>
      <c r="F308" s="552">
        <v>17.510000000000002</v>
      </c>
      <c r="G308" s="552">
        <f>TRUNC(20.83,2)</f>
        <v>20.83</v>
      </c>
      <c r="H308" s="62">
        <f t="shared" si="11"/>
        <v>364.73</v>
      </c>
    </row>
    <row r="309" spans="1:8" x14ac:dyDescent="0.2">
      <c r="A309" s="47"/>
      <c r="B309" s="556"/>
      <c r="C309" s="509" t="s">
        <v>186</v>
      </c>
      <c r="D309" s="516" t="s">
        <v>187</v>
      </c>
      <c r="E309" s="552" t="s">
        <v>16</v>
      </c>
      <c r="F309" s="552">
        <v>1.7</v>
      </c>
      <c r="G309" s="552">
        <f>TRUNC(49.1996,2)</f>
        <v>49.19</v>
      </c>
      <c r="H309" s="62">
        <f t="shared" si="11"/>
        <v>83.62</v>
      </c>
    </row>
    <row r="310" spans="1:8" ht="24" x14ac:dyDescent="0.2">
      <c r="A310" s="47"/>
      <c r="B310" s="556"/>
      <c r="C310" s="509" t="s">
        <v>188</v>
      </c>
      <c r="D310" s="516" t="s">
        <v>189</v>
      </c>
      <c r="E310" s="552" t="s">
        <v>19</v>
      </c>
      <c r="F310" s="552">
        <v>0.13</v>
      </c>
      <c r="G310" s="552">
        <f>TRUNC(272.453,2)</f>
        <v>272.45</v>
      </c>
      <c r="H310" s="62">
        <f t="shared" si="11"/>
        <v>35.409999999999997</v>
      </c>
    </row>
    <row r="311" spans="1:8" ht="16.5" thickBot="1" x14ac:dyDescent="0.25">
      <c r="A311" s="47"/>
      <c r="B311" s="556"/>
      <c r="C311" s="509"/>
      <c r="D311" s="516"/>
      <c r="E311" s="552"/>
      <c r="F311" s="552" t="s">
        <v>38</v>
      </c>
      <c r="G311" s="552"/>
      <c r="H311" s="62">
        <f>TRUNC(SUM(H291:H310),2)</f>
        <v>974.33</v>
      </c>
    </row>
    <row r="312" spans="1:8" ht="36" x14ac:dyDescent="0.2">
      <c r="A312" s="47"/>
      <c r="B312" s="551"/>
      <c r="C312" s="509" t="s">
        <v>566</v>
      </c>
      <c r="D312" s="516" t="s">
        <v>284</v>
      </c>
      <c r="E312" s="547" t="s">
        <v>22</v>
      </c>
      <c r="F312" s="547">
        <v>1</v>
      </c>
      <c r="G312" s="547">
        <f>TRUNC(H316,2)</f>
        <v>60.93</v>
      </c>
      <c r="H312" s="378">
        <f>TRUNC(F312*G312,2)</f>
        <v>60.93</v>
      </c>
    </row>
    <row r="313" spans="1:8" ht="48" x14ac:dyDescent="0.2">
      <c r="A313" s="47"/>
      <c r="B313" s="551"/>
      <c r="C313" s="528" t="s">
        <v>1266</v>
      </c>
      <c r="D313" s="494" t="s">
        <v>191</v>
      </c>
      <c r="E313" s="495" t="s">
        <v>22</v>
      </c>
      <c r="F313" s="495">
        <v>1</v>
      </c>
      <c r="G313" s="495">
        <f>TRUNC(48.36,2)</f>
        <v>48.36</v>
      </c>
      <c r="H313" s="379">
        <f>TRUNC(F313*G313,2)</f>
        <v>48.36</v>
      </c>
    </row>
    <row r="314" spans="1:8" x14ac:dyDescent="0.2">
      <c r="A314" s="47"/>
      <c r="B314" s="551"/>
      <c r="C314" s="528" t="s">
        <v>1202</v>
      </c>
      <c r="D314" s="494" t="s">
        <v>49</v>
      </c>
      <c r="E314" s="495" t="s">
        <v>37</v>
      </c>
      <c r="F314" s="495">
        <v>0.25309999999999999</v>
      </c>
      <c r="G314" s="495">
        <f>TRUNC(27.97,2)</f>
        <v>27.97</v>
      </c>
      <c r="H314" s="379">
        <f>TRUNC(F314*G314,2)</f>
        <v>7.07</v>
      </c>
    </row>
    <row r="315" spans="1:8" ht="24" x14ac:dyDescent="0.2">
      <c r="A315" s="47"/>
      <c r="B315" s="551"/>
      <c r="C315" s="528" t="s">
        <v>1248</v>
      </c>
      <c r="D315" s="494" t="s">
        <v>50</v>
      </c>
      <c r="E315" s="495" t="s">
        <v>37</v>
      </c>
      <c r="F315" s="495">
        <v>0.25309999999999999</v>
      </c>
      <c r="G315" s="495">
        <f>TRUNC(21.74,2)</f>
        <v>21.74</v>
      </c>
      <c r="H315" s="379">
        <f>TRUNC(F315*G315,2)</f>
        <v>5.5</v>
      </c>
    </row>
    <row r="316" spans="1:8" x14ac:dyDescent="0.2">
      <c r="A316" s="47"/>
      <c r="B316" s="551"/>
      <c r="C316" s="528"/>
      <c r="D316" s="494"/>
      <c r="E316" s="495"/>
      <c r="F316" s="495" t="s">
        <v>38</v>
      </c>
      <c r="G316" s="495"/>
      <c r="H316" s="379">
        <f>TRUNC(SUM(H313:H315),2)</f>
        <v>60.93</v>
      </c>
    </row>
    <row r="317" spans="1:8" ht="24" x14ac:dyDescent="0.2">
      <c r="A317" s="47"/>
      <c r="B317" s="551"/>
      <c r="C317" s="558" t="s">
        <v>1267</v>
      </c>
      <c r="D317" s="516" t="s">
        <v>564</v>
      </c>
      <c r="E317" s="552" t="s">
        <v>22</v>
      </c>
      <c r="F317" s="552">
        <v>1</v>
      </c>
      <c r="G317" s="552">
        <f>TRUNC(H321,2)</f>
        <v>25.61</v>
      </c>
      <c r="H317" s="386">
        <f>TRUNC(F317*G317,2)</f>
        <v>25.61</v>
      </c>
    </row>
    <row r="318" spans="1:8" ht="24" x14ac:dyDescent="0.2">
      <c r="A318" s="47"/>
      <c r="B318" s="551"/>
      <c r="C318" s="558" t="s">
        <v>1268</v>
      </c>
      <c r="D318" s="516" t="s">
        <v>565</v>
      </c>
      <c r="E318" s="552" t="s">
        <v>22</v>
      </c>
      <c r="F318" s="552">
        <v>1</v>
      </c>
      <c r="G318" s="552">
        <f>TRUNC(5.74,2)</f>
        <v>5.74</v>
      </c>
      <c r="H318" s="386">
        <f>TRUNC(F318*G318,2)</f>
        <v>5.74</v>
      </c>
    </row>
    <row r="319" spans="1:8" x14ac:dyDescent="0.2">
      <c r="A319" s="47"/>
      <c r="B319" s="551"/>
      <c r="C319" s="558" t="s">
        <v>1202</v>
      </c>
      <c r="D319" s="516" t="s">
        <v>49</v>
      </c>
      <c r="E319" s="552" t="s">
        <v>37</v>
      </c>
      <c r="F319" s="552">
        <v>0.4</v>
      </c>
      <c r="G319" s="552">
        <f>TRUNC(27.97,2)</f>
        <v>27.97</v>
      </c>
      <c r="H319" s="386">
        <f>TRUNC(F319*G319,2)</f>
        <v>11.18</v>
      </c>
    </row>
    <row r="320" spans="1:8" ht="24" x14ac:dyDescent="0.2">
      <c r="A320" s="47"/>
      <c r="B320" s="551"/>
      <c r="C320" s="558" t="s">
        <v>1248</v>
      </c>
      <c r="D320" s="516" t="s">
        <v>50</v>
      </c>
      <c r="E320" s="552" t="s">
        <v>37</v>
      </c>
      <c r="F320" s="552">
        <v>0.4</v>
      </c>
      <c r="G320" s="552">
        <f>TRUNC(21.74,2)</f>
        <v>21.74</v>
      </c>
      <c r="H320" s="386">
        <f>TRUNC(F320*G320,2)</f>
        <v>8.69</v>
      </c>
    </row>
    <row r="321" spans="1:8" x14ac:dyDescent="0.2">
      <c r="A321" s="47"/>
      <c r="B321" s="551"/>
      <c r="C321" s="558"/>
      <c r="D321" s="516"/>
      <c r="E321" s="552"/>
      <c r="F321" s="552" t="s">
        <v>38</v>
      </c>
      <c r="G321" s="552"/>
      <c r="H321" s="386">
        <f>TRUNC(SUM(H318:H320),2)</f>
        <v>25.61</v>
      </c>
    </row>
    <row r="322" spans="1:8" x14ac:dyDescent="0.2">
      <c r="A322" s="47"/>
      <c r="B322" s="551"/>
      <c r="C322" s="558"/>
      <c r="D322" s="516"/>
      <c r="E322" s="552"/>
      <c r="F322" s="552"/>
      <c r="G322" s="552"/>
      <c r="H322" s="386"/>
    </row>
    <row r="323" spans="1:8" x14ac:dyDescent="0.2">
      <c r="A323" s="47"/>
      <c r="B323" s="544" t="s">
        <v>1054</v>
      </c>
      <c r="C323" s="559"/>
      <c r="D323" s="560" t="s">
        <v>282</v>
      </c>
      <c r="E323" s="561"/>
      <c r="F323" s="561"/>
      <c r="G323" s="561"/>
      <c r="H323" s="387">
        <f>G312+G317</f>
        <v>86.539999999999992</v>
      </c>
    </row>
    <row r="324" spans="1:8" ht="16.5" thickBot="1" x14ac:dyDescent="0.25">
      <c r="A324" s="47"/>
      <c r="B324" s="544"/>
      <c r="C324" s="530"/>
      <c r="D324" s="548"/>
      <c r="E324" s="549"/>
      <c r="F324" s="549"/>
      <c r="G324" s="549"/>
      <c r="H324" s="381"/>
    </row>
    <row r="325" spans="1:8" x14ac:dyDescent="0.2">
      <c r="A325" s="47"/>
      <c r="B325" s="492"/>
      <c r="C325" s="493"/>
      <c r="D325" s="494"/>
      <c r="E325" s="495"/>
      <c r="F325" s="495"/>
      <c r="G325" s="495"/>
      <c r="H325" s="219"/>
    </row>
    <row r="326" spans="1:8" ht="60" x14ac:dyDescent="0.2">
      <c r="A326" s="47"/>
      <c r="B326" s="556" t="s">
        <v>1055</v>
      </c>
      <c r="C326" s="509" t="s">
        <v>192</v>
      </c>
      <c r="D326" s="516" t="s">
        <v>1425</v>
      </c>
      <c r="E326" s="552" t="s">
        <v>18</v>
      </c>
      <c r="F326" s="552">
        <v>1</v>
      </c>
      <c r="G326" s="552">
        <f>TRUNC(12.081744,2)</f>
        <v>12.08</v>
      </c>
      <c r="H326" s="62">
        <f>TRUNC(F326*G326,2)</f>
        <v>12.08</v>
      </c>
    </row>
    <row r="327" spans="1:8" ht="24" x14ac:dyDescent="0.2">
      <c r="A327" s="47"/>
      <c r="B327" s="556"/>
      <c r="C327" s="509" t="s">
        <v>193</v>
      </c>
      <c r="D327" s="516" t="s">
        <v>194</v>
      </c>
      <c r="E327" s="552" t="s">
        <v>18</v>
      </c>
      <c r="F327" s="552">
        <v>1</v>
      </c>
      <c r="G327" s="552">
        <f>TRUNC(8.37,2)</f>
        <v>8.3699999999999992</v>
      </c>
      <c r="H327" s="62">
        <f>TRUNC(F327*G327,2)</f>
        <v>8.3699999999999992</v>
      </c>
    </row>
    <row r="328" spans="1:8" x14ac:dyDescent="0.2">
      <c r="A328" s="47"/>
      <c r="B328" s="556"/>
      <c r="C328" s="509" t="s">
        <v>103</v>
      </c>
      <c r="D328" s="516" t="s">
        <v>104</v>
      </c>
      <c r="E328" s="552" t="s">
        <v>22</v>
      </c>
      <c r="F328" s="552">
        <v>1.4E-3</v>
      </c>
      <c r="G328" s="552">
        <f>TRUNC(8.56,2)</f>
        <v>8.56</v>
      </c>
      <c r="H328" s="62">
        <f>TRUNC(F328*G328,2)</f>
        <v>0.01</v>
      </c>
    </row>
    <row r="329" spans="1:8" ht="24" x14ac:dyDescent="0.2">
      <c r="A329" s="47"/>
      <c r="B329" s="556"/>
      <c r="C329" s="509" t="s">
        <v>35</v>
      </c>
      <c r="D329" s="516" t="s">
        <v>36</v>
      </c>
      <c r="E329" s="552" t="s">
        <v>37</v>
      </c>
      <c r="F329" s="552">
        <v>0.10300000000000001</v>
      </c>
      <c r="G329" s="552">
        <f>TRUNC(15.09,2)</f>
        <v>15.09</v>
      </c>
      <c r="H329" s="62">
        <f>TRUNC(F329*G329,2)</f>
        <v>1.55</v>
      </c>
    </row>
    <row r="330" spans="1:8" ht="24" x14ac:dyDescent="0.2">
      <c r="A330" s="47"/>
      <c r="B330" s="556"/>
      <c r="C330" s="509" t="s">
        <v>153</v>
      </c>
      <c r="D330" s="516" t="s">
        <v>154</v>
      </c>
      <c r="E330" s="552" t="s">
        <v>37</v>
      </c>
      <c r="F330" s="552">
        <v>0.10300000000000001</v>
      </c>
      <c r="G330" s="552">
        <f>TRUNC(20.83,2)</f>
        <v>20.83</v>
      </c>
      <c r="H330" s="62">
        <f>TRUNC(F330*G330,2)</f>
        <v>2.14</v>
      </c>
    </row>
    <row r="331" spans="1:8" x14ac:dyDescent="0.2">
      <c r="A331" s="47"/>
      <c r="B331" s="556"/>
      <c r="C331" s="509"/>
      <c r="D331" s="516"/>
      <c r="E331" s="552"/>
      <c r="F331" s="552" t="s">
        <v>38</v>
      </c>
      <c r="G331" s="552"/>
      <c r="H331" s="62">
        <f>TRUNC(SUM(H327:H330),2)</f>
        <v>12.07</v>
      </c>
    </row>
    <row r="332" spans="1:8" ht="60" x14ac:dyDescent="0.2">
      <c r="A332" s="47"/>
      <c r="B332" s="556" t="s">
        <v>1056</v>
      </c>
      <c r="C332" s="509" t="s">
        <v>195</v>
      </c>
      <c r="D332" s="516" t="s">
        <v>568</v>
      </c>
      <c r="E332" s="552" t="s">
        <v>18</v>
      </c>
      <c r="F332" s="552">
        <v>1</v>
      </c>
      <c r="G332" s="552">
        <f>TRUNC(H337,2)</f>
        <v>8.58</v>
      </c>
      <c r="H332" s="62">
        <f>TRUNC(F332*G332,2)</f>
        <v>8.58</v>
      </c>
    </row>
    <row r="333" spans="1:8" x14ac:dyDescent="0.2">
      <c r="A333" s="47"/>
      <c r="B333" s="556"/>
      <c r="C333" s="509" t="s">
        <v>103</v>
      </c>
      <c r="D333" s="516" t="s">
        <v>104</v>
      </c>
      <c r="E333" s="552" t="s">
        <v>22</v>
      </c>
      <c r="F333" s="552">
        <v>1.4E-3</v>
      </c>
      <c r="G333" s="552">
        <f>TRUNC(8.56,2)</f>
        <v>8.56</v>
      </c>
      <c r="H333" s="62">
        <f>TRUNC(F333*G333,2)</f>
        <v>0.01</v>
      </c>
    </row>
    <row r="334" spans="1:8" ht="24" x14ac:dyDescent="0.2">
      <c r="A334" s="47"/>
      <c r="B334" s="556"/>
      <c r="C334" s="509" t="s">
        <v>196</v>
      </c>
      <c r="D334" s="516" t="s">
        <v>197</v>
      </c>
      <c r="E334" s="552" t="s">
        <v>18</v>
      </c>
      <c r="F334" s="552">
        <v>1</v>
      </c>
      <c r="G334" s="552">
        <f>TRUNC(5.25,2)</f>
        <v>5.25</v>
      </c>
      <c r="H334" s="62">
        <f>TRUNC(F334*G334,2)</f>
        <v>5.25</v>
      </c>
    </row>
    <row r="335" spans="1:8" ht="24" x14ac:dyDescent="0.2">
      <c r="A335" s="47"/>
      <c r="B335" s="556"/>
      <c r="C335" s="509" t="s">
        <v>35</v>
      </c>
      <c r="D335" s="516" t="s">
        <v>36</v>
      </c>
      <c r="E335" s="552" t="s">
        <v>37</v>
      </c>
      <c r="F335" s="552">
        <v>9.2700000000000005E-2</v>
      </c>
      <c r="G335" s="552">
        <f>TRUNC(15.09,2)</f>
        <v>15.09</v>
      </c>
      <c r="H335" s="62">
        <f>TRUNC(F335*G335,2)</f>
        <v>1.39</v>
      </c>
    </row>
    <row r="336" spans="1:8" ht="24" x14ac:dyDescent="0.2">
      <c r="A336" s="47"/>
      <c r="B336" s="556"/>
      <c r="C336" s="509" t="s">
        <v>153</v>
      </c>
      <c r="D336" s="516" t="s">
        <v>154</v>
      </c>
      <c r="E336" s="552" t="s">
        <v>37</v>
      </c>
      <c r="F336" s="552">
        <v>9.2700000000000005E-2</v>
      </c>
      <c r="G336" s="552">
        <f>TRUNC(20.83,2)</f>
        <v>20.83</v>
      </c>
      <c r="H336" s="62">
        <f>TRUNC(F336*G336,2)</f>
        <v>1.93</v>
      </c>
    </row>
    <row r="337" spans="1:8" x14ac:dyDescent="0.2">
      <c r="A337" s="47"/>
      <c r="B337" s="556"/>
      <c r="C337" s="509"/>
      <c r="D337" s="516"/>
      <c r="E337" s="552"/>
      <c r="F337" s="552" t="s">
        <v>38</v>
      </c>
      <c r="G337" s="552"/>
      <c r="H337" s="62">
        <f>TRUNC(SUM(H333:H336),2)</f>
        <v>8.58</v>
      </c>
    </row>
    <row r="338" spans="1:8" ht="60" x14ac:dyDescent="0.2">
      <c r="A338" s="47"/>
      <c r="B338" s="556" t="s">
        <v>1057</v>
      </c>
      <c r="C338" s="509" t="s">
        <v>198</v>
      </c>
      <c r="D338" s="516" t="s">
        <v>569</v>
      </c>
      <c r="E338" s="552" t="s">
        <v>18</v>
      </c>
      <c r="F338" s="552">
        <v>1</v>
      </c>
      <c r="G338" s="552">
        <f>TRUNC(H343,2)</f>
        <v>6.34</v>
      </c>
      <c r="H338" s="62">
        <f>TRUNC(F338*G338,2)</f>
        <v>6.34</v>
      </c>
    </row>
    <row r="339" spans="1:8" ht="24" x14ac:dyDescent="0.2">
      <c r="A339" s="47"/>
      <c r="B339" s="556"/>
      <c r="C339" s="509" t="s">
        <v>199</v>
      </c>
      <c r="D339" s="516" t="s">
        <v>200</v>
      </c>
      <c r="E339" s="552" t="s">
        <v>18</v>
      </c>
      <c r="F339" s="552">
        <v>1</v>
      </c>
      <c r="G339" s="552">
        <f>TRUNC(3.38,2)</f>
        <v>3.38</v>
      </c>
      <c r="H339" s="62">
        <f>TRUNC(F339*G339,2)</f>
        <v>3.38</v>
      </c>
    </row>
    <row r="340" spans="1:8" x14ac:dyDescent="0.2">
      <c r="A340" s="47"/>
      <c r="B340" s="556"/>
      <c r="C340" s="509" t="s">
        <v>103</v>
      </c>
      <c r="D340" s="516" t="s">
        <v>104</v>
      </c>
      <c r="E340" s="552" t="s">
        <v>22</v>
      </c>
      <c r="F340" s="552">
        <v>1.4E-3</v>
      </c>
      <c r="G340" s="552">
        <f>TRUNC(8.56,2)</f>
        <v>8.56</v>
      </c>
      <c r="H340" s="62">
        <f>TRUNC(F340*G340,2)</f>
        <v>0.01</v>
      </c>
    </row>
    <row r="341" spans="1:8" ht="24" x14ac:dyDescent="0.2">
      <c r="A341" s="47"/>
      <c r="B341" s="556"/>
      <c r="C341" s="509" t="s">
        <v>35</v>
      </c>
      <c r="D341" s="516" t="s">
        <v>36</v>
      </c>
      <c r="E341" s="552" t="s">
        <v>37</v>
      </c>
      <c r="F341" s="552">
        <v>8.2400000000000001E-2</v>
      </c>
      <c r="G341" s="552">
        <f>TRUNC(15.09,2)</f>
        <v>15.09</v>
      </c>
      <c r="H341" s="62">
        <f>TRUNC(F341*G341,2)</f>
        <v>1.24</v>
      </c>
    </row>
    <row r="342" spans="1:8" ht="24" x14ac:dyDescent="0.2">
      <c r="A342" s="47"/>
      <c r="B342" s="556"/>
      <c r="C342" s="509" t="s">
        <v>153</v>
      </c>
      <c r="D342" s="516" t="s">
        <v>154</v>
      </c>
      <c r="E342" s="552" t="s">
        <v>37</v>
      </c>
      <c r="F342" s="552">
        <v>8.2400000000000001E-2</v>
      </c>
      <c r="G342" s="552">
        <f>TRUNC(20.83,2)</f>
        <v>20.83</v>
      </c>
      <c r="H342" s="62">
        <f>TRUNC(F342*G342,2)</f>
        <v>1.71</v>
      </c>
    </row>
    <row r="343" spans="1:8" x14ac:dyDescent="0.2">
      <c r="A343" s="47"/>
      <c r="B343" s="556"/>
      <c r="C343" s="509"/>
      <c r="D343" s="516"/>
      <c r="E343" s="552"/>
      <c r="F343" s="552" t="s">
        <v>38</v>
      </c>
      <c r="G343" s="552"/>
      <c r="H343" s="62">
        <f>TRUNC(SUM(H339:H342),2)</f>
        <v>6.34</v>
      </c>
    </row>
    <row r="344" spans="1:8" ht="60" x14ac:dyDescent="0.2">
      <c r="A344" s="47"/>
      <c r="B344" s="556" t="s">
        <v>1058</v>
      </c>
      <c r="C344" s="509" t="s">
        <v>201</v>
      </c>
      <c r="D344" s="516" t="s">
        <v>570</v>
      </c>
      <c r="E344" s="552" t="s">
        <v>18</v>
      </c>
      <c r="F344" s="552">
        <v>1</v>
      </c>
      <c r="G344" s="552">
        <f>TRUNC(H349,2)</f>
        <v>4.4800000000000004</v>
      </c>
      <c r="H344" s="62">
        <f>TRUNC(F344*G344,2)</f>
        <v>4.4800000000000004</v>
      </c>
    </row>
    <row r="345" spans="1:8" ht="24" x14ac:dyDescent="0.2">
      <c r="A345" s="47"/>
      <c r="B345" s="556"/>
      <c r="C345" s="509" t="s">
        <v>202</v>
      </c>
      <c r="D345" s="516" t="s">
        <v>203</v>
      </c>
      <c r="E345" s="552" t="s">
        <v>18</v>
      </c>
      <c r="F345" s="552">
        <v>1</v>
      </c>
      <c r="G345" s="552">
        <f>TRUNC(1.89,2)</f>
        <v>1.89</v>
      </c>
      <c r="H345" s="62">
        <f>TRUNC(F345*G345,2)</f>
        <v>1.89</v>
      </c>
    </row>
    <row r="346" spans="1:8" x14ac:dyDescent="0.2">
      <c r="A346" s="47"/>
      <c r="B346" s="556"/>
      <c r="C346" s="509" t="s">
        <v>103</v>
      </c>
      <c r="D346" s="516" t="s">
        <v>104</v>
      </c>
      <c r="E346" s="552" t="s">
        <v>22</v>
      </c>
      <c r="F346" s="552">
        <v>1.4E-3</v>
      </c>
      <c r="G346" s="552">
        <f>TRUNC(8.56,2)</f>
        <v>8.56</v>
      </c>
      <c r="H346" s="62">
        <f>TRUNC(F346*G346,2)</f>
        <v>0.01</v>
      </c>
    </row>
    <row r="347" spans="1:8" ht="24" x14ac:dyDescent="0.2">
      <c r="A347" s="47"/>
      <c r="B347" s="556"/>
      <c r="C347" s="509" t="s">
        <v>35</v>
      </c>
      <c r="D347" s="516" t="s">
        <v>36</v>
      </c>
      <c r="E347" s="552" t="s">
        <v>37</v>
      </c>
      <c r="F347" s="552">
        <v>7.2100000000000011E-2</v>
      </c>
      <c r="G347" s="552">
        <f>TRUNC(15.09,2)</f>
        <v>15.09</v>
      </c>
      <c r="H347" s="62">
        <f>TRUNC(F347*G347,2)</f>
        <v>1.08</v>
      </c>
    </row>
    <row r="348" spans="1:8" ht="24" x14ac:dyDescent="0.2">
      <c r="A348" s="47"/>
      <c r="B348" s="556"/>
      <c r="C348" s="509" t="s">
        <v>153</v>
      </c>
      <c r="D348" s="516" t="s">
        <v>154</v>
      </c>
      <c r="E348" s="552" t="s">
        <v>37</v>
      </c>
      <c r="F348" s="552">
        <v>7.2100000000000011E-2</v>
      </c>
      <c r="G348" s="552">
        <f>TRUNC(20.83,2)</f>
        <v>20.83</v>
      </c>
      <c r="H348" s="62">
        <f>TRUNC(F348*G348,2)</f>
        <v>1.5</v>
      </c>
    </row>
    <row r="349" spans="1:8" x14ac:dyDescent="0.2">
      <c r="A349" s="47"/>
      <c r="B349" s="556"/>
      <c r="C349" s="509"/>
      <c r="D349" s="516"/>
      <c r="E349" s="552"/>
      <c r="F349" s="552" t="s">
        <v>38</v>
      </c>
      <c r="G349" s="552"/>
      <c r="H349" s="62">
        <f>TRUNC(SUM(H345:H348),2)</f>
        <v>4.4800000000000004</v>
      </c>
    </row>
    <row r="350" spans="1:8" ht="60" x14ac:dyDescent="0.2">
      <c r="A350" s="47"/>
      <c r="B350" s="556" t="s">
        <v>1059</v>
      </c>
      <c r="C350" s="509" t="s">
        <v>283</v>
      </c>
      <c r="D350" s="516" t="s">
        <v>1269</v>
      </c>
      <c r="E350" s="552" t="s">
        <v>18</v>
      </c>
      <c r="F350" s="552">
        <v>1</v>
      </c>
      <c r="G350" s="552">
        <f>TRUNC(H354,2)</f>
        <v>13.42</v>
      </c>
      <c r="H350" s="62">
        <f>TRUNC(F350*G350,2)</f>
        <v>13.42</v>
      </c>
    </row>
    <row r="351" spans="1:8" ht="24" x14ac:dyDescent="0.2">
      <c r="A351" s="47"/>
      <c r="B351" s="556"/>
      <c r="C351" s="509" t="s">
        <v>144</v>
      </c>
      <c r="D351" s="516" t="s">
        <v>563</v>
      </c>
      <c r="E351" s="552" t="s">
        <v>22</v>
      </c>
      <c r="F351" s="552">
        <v>0.38500000000000001</v>
      </c>
      <c r="G351" s="552">
        <f>TRUNC(13.76,2)</f>
        <v>13.76</v>
      </c>
      <c r="H351" s="62">
        <f>TRUNC(F351*G351,2)</f>
        <v>5.29</v>
      </c>
    </row>
    <row r="352" spans="1:8" ht="24" x14ac:dyDescent="0.2">
      <c r="A352" s="47"/>
      <c r="B352" s="556"/>
      <c r="C352" s="509" t="s">
        <v>35</v>
      </c>
      <c r="D352" s="516" t="s">
        <v>36</v>
      </c>
      <c r="E352" s="552" t="s">
        <v>37</v>
      </c>
      <c r="F352" s="552">
        <v>0.2266</v>
      </c>
      <c r="G352" s="552">
        <f>TRUNC(15.09,2)</f>
        <v>15.09</v>
      </c>
      <c r="H352" s="62">
        <f>TRUNC(F352*G352,2)</f>
        <v>3.41</v>
      </c>
    </row>
    <row r="353" spans="1:8" ht="24" x14ac:dyDescent="0.2">
      <c r="A353" s="47"/>
      <c r="B353" s="556"/>
      <c r="C353" s="509" t="s">
        <v>153</v>
      </c>
      <c r="D353" s="516" t="s">
        <v>154</v>
      </c>
      <c r="E353" s="552" t="s">
        <v>37</v>
      </c>
      <c r="F353" s="552">
        <v>0.2266</v>
      </c>
      <c r="G353" s="552">
        <f>TRUNC(20.83,2)</f>
        <v>20.83</v>
      </c>
      <c r="H353" s="62">
        <f>TRUNC(F353*G353,2)</f>
        <v>4.72</v>
      </c>
    </row>
    <row r="354" spans="1:8" x14ac:dyDescent="0.2">
      <c r="A354" s="47"/>
      <c r="B354" s="556"/>
      <c r="C354" s="509"/>
      <c r="D354" s="516"/>
      <c r="E354" s="552"/>
      <c r="F354" s="552" t="s">
        <v>38</v>
      </c>
      <c r="G354" s="552"/>
      <c r="H354" s="62">
        <f>TRUNC(SUM(H351:H353),2)</f>
        <v>13.42</v>
      </c>
    </row>
    <row r="355" spans="1:8" ht="20.25" x14ac:dyDescent="0.3">
      <c r="A355" s="47"/>
      <c r="B355" s="492"/>
      <c r="C355" s="493"/>
      <c r="D355" s="273" t="s">
        <v>524</v>
      </c>
      <c r="E355" s="273"/>
      <c r="F355" s="562"/>
      <c r="G355" s="522"/>
      <c r="H355" s="54"/>
    </row>
    <row r="356" spans="1:8" ht="12" customHeight="1" x14ac:dyDescent="0.2">
      <c r="A356" s="47"/>
      <c r="B356" s="492" t="s">
        <v>1060</v>
      </c>
      <c r="C356" s="493" t="s">
        <v>572</v>
      </c>
      <c r="D356" s="494" t="s">
        <v>573</v>
      </c>
      <c r="E356" s="495" t="s">
        <v>22</v>
      </c>
      <c r="F356" s="495">
        <v>1</v>
      </c>
      <c r="G356" s="495">
        <f>TRUNC(H361,2)</f>
        <v>7.06</v>
      </c>
      <c r="H356" s="219">
        <f>TRUNC(F356*G356,2)</f>
        <v>7.06</v>
      </c>
    </row>
    <row r="357" spans="1:8" ht="12" customHeight="1" x14ac:dyDescent="0.2">
      <c r="A357" s="47"/>
      <c r="B357" s="492"/>
      <c r="C357" s="493" t="s">
        <v>574</v>
      </c>
      <c r="D357" s="494" t="s">
        <v>575</v>
      </c>
      <c r="E357" s="495" t="s">
        <v>22</v>
      </c>
      <c r="F357" s="495">
        <v>1</v>
      </c>
      <c r="G357" s="495">
        <f>TRUNC(1.21,2)</f>
        <v>1.21</v>
      </c>
      <c r="H357" s="219">
        <f>TRUNC(F357*G357,2)</f>
        <v>1.21</v>
      </c>
    </row>
    <row r="358" spans="1:8" ht="12" customHeight="1" x14ac:dyDescent="0.2">
      <c r="A358" s="47"/>
      <c r="B358" s="492"/>
      <c r="C358" s="493" t="s">
        <v>133</v>
      </c>
      <c r="D358" s="494" t="s">
        <v>559</v>
      </c>
      <c r="E358" s="495" t="s">
        <v>22</v>
      </c>
      <c r="F358" s="495">
        <v>2</v>
      </c>
      <c r="G358" s="495">
        <f>TRUNC(0.71,2)</f>
        <v>0.71</v>
      </c>
      <c r="H358" s="219">
        <f>TRUNC(F358*G358,2)</f>
        <v>1.42</v>
      </c>
    </row>
    <row r="359" spans="1:8" ht="12" customHeight="1" x14ac:dyDescent="0.2">
      <c r="A359" s="47"/>
      <c r="B359" s="492"/>
      <c r="C359" s="493" t="s">
        <v>35</v>
      </c>
      <c r="D359" s="494" t="s">
        <v>36</v>
      </c>
      <c r="E359" s="495" t="s">
        <v>37</v>
      </c>
      <c r="F359" s="495">
        <v>0.1236</v>
      </c>
      <c r="G359" s="495">
        <f>TRUNC(15.09,2)</f>
        <v>15.09</v>
      </c>
      <c r="H359" s="219">
        <f>TRUNC(F359*G359,2)</f>
        <v>1.86</v>
      </c>
    </row>
    <row r="360" spans="1:8" ht="12" customHeight="1" x14ac:dyDescent="0.2">
      <c r="A360" s="47"/>
      <c r="B360" s="492"/>
      <c r="C360" s="493" t="s">
        <v>153</v>
      </c>
      <c r="D360" s="494" t="s">
        <v>154</v>
      </c>
      <c r="E360" s="495" t="s">
        <v>37</v>
      </c>
      <c r="F360" s="495">
        <v>0.1236</v>
      </c>
      <c r="G360" s="495">
        <f>TRUNC(20.83,2)</f>
        <v>20.83</v>
      </c>
      <c r="H360" s="219">
        <f>TRUNC(F360*G360,2)</f>
        <v>2.57</v>
      </c>
    </row>
    <row r="361" spans="1:8" ht="12" customHeight="1" x14ac:dyDescent="0.2">
      <c r="A361" s="47"/>
      <c r="B361" s="492"/>
      <c r="C361" s="493"/>
      <c r="D361" s="494"/>
      <c r="E361" s="495"/>
      <c r="F361" s="495" t="s">
        <v>38</v>
      </c>
      <c r="G361" s="495"/>
      <c r="H361" s="219">
        <f>TRUNC(SUM(H357:H360),2)</f>
        <v>7.06</v>
      </c>
    </row>
    <row r="362" spans="1:8" ht="12" customHeight="1" x14ac:dyDescent="0.2">
      <c r="A362" s="47"/>
      <c r="B362" s="492" t="s">
        <v>1061</v>
      </c>
      <c r="C362" s="493" t="s">
        <v>576</v>
      </c>
      <c r="D362" s="494" t="s">
        <v>577</v>
      </c>
      <c r="E362" s="495" t="s">
        <v>22</v>
      </c>
      <c r="F362" s="495">
        <v>1</v>
      </c>
      <c r="G362" s="495">
        <f>TRUNC(H367,2)</f>
        <v>6.4</v>
      </c>
      <c r="H362" s="219">
        <f>TRUNC(F362*G362,2)</f>
        <v>6.4</v>
      </c>
    </row>
    <row r="363" spans="1:8" ht="12" customHeight="1" x14ac:dyDescent="0.2">
      <c r="A363" s="47"/>
      <c r="B363" s="492"/>
      <c r="C363" s="493" t="s">
        <v>578</v>
      </c>
      <c r="D363" s="494" t="s">
        <v>579</v>
      </c>
      <c r="E363" s="495" t="s">
        <v>22</v>
      </c>
      <c r="F363" s="495">
        <v>1</v>
      </c>
      <c r="G363" s="495">
        <f>TRUNC(0.55,2)</f>
        <v>0.55000000000000004</v>
      </c>
      <c r="H363" s="219">
        <f>TRUNC(F363*G363,2)</f>
        <v>0.55000000000000004</v>
      </c>
    </row>
    <row r="364" spans="1:8" ht="12" customHeight="1" x14ac:dyDescent="0.2">
      <c r="A364" s="47"/>
      <c r="B364" s="492"/>
      <c r="C364" s="493" t="s">
        <v>133</v>
      </c>
      <c r="D364" s="494" t="s">
        <v>559</v>
      </c>
      <c r="E364" s="495" t="s">
        <v>22</v>
      </c>
      <c r="F364" s="495">
        <v>2</v>
      </c>
      <c r="G364" s="495">
        <f>TRUNC(0.71,2)</f>
        <v>0.71</v>
      </c>
      <c r="H364" s="219">
        <f>TRUNC(F364*G364,2)</f>
        <v>1.42</v>
      </c>
    </row>
    <row r="365" spans="1:8" ht="12" customHeight="1" x14ac:dyDescent="0.2">
      <c r="A365" s="47"/>
      <c r="B365" s="492"/>
      <c r="C365" s="493" t="s">
        <v>35</v>
      </c>
      <c r="D365" s="494" t="s">
        <v>36</v>
      </c>
      <c r="E365" s="495" t="s">
        <v>37</v>
      </c>
      <c r="F365" s="495">
        <v>0.1236</v>
      </c>
      <c r="G365" s="495">
        <f>TRUNC(15.09,2)</f>
        <v>15.09</v>
      </c>
      <c r="H365" s="219">
        <f>TRUNC(F365*G365,2)</f>
        <v>1.86</v>
      </c>
    </row>
    <row r="366" spans="1:8" ht="12" customHeight="1" x14ac:dyDescent="0.2">
      <c r="A366" s="47"/>
      <c r="B366" s="492"/>
      <c r="C366" s="493" t="s">
        <v>153</v>
      </c>
      <c r="D366" s="494" t="s">
        <v>154</v>
      </c>
      <c r="E366" s="495" t="s">
        <v>37</v>
      </c>
      <c r="F366" s="495">
        <v>0.1236</v>
      </c>
      <c r="G366" s="495">
        <f>TRUNC(20.83,2)</f>
        <v>20.83</v>
      </c>
      <c r="H366" s="219">
        <f>TRUNC(F366*G366,2)</f>
        <v>2.57</v>
      </c>
    </row>
    <row r="367" spans="1:8" ht="12" customHeight="1" x14ac:dyDescent="0.2">
      <c r="A367" s="47"/>
      <c r="B367" s="492"/>
      <c r="C367" s="493"/>
      <c r="D367" s="494"/>
      <c r="E367" s="495"/>
      <c r="F367" s="495" t="s">
        <v>38</v>
      </c>
      <c r="G367" s="495"/>
      <c r="H367" s="219">
        <f>TRUNC(SUM(H363:H366),2)</f>
        <v>6.4</v>
      </c>
    </row>
    <row r="368" spans="1:8" ht="12" customHeight="1" x14ac:dyDescent="0.2">
      <c r="A368" s="47"/>
      <c r="B368" s="492" t="s">
        <v>1062</v>
      </c>
      <c r="C368" s="493" t="s">
        <v>580</v>
      </c>
      <c r="D368" s="494" t="s">
        <v>581</v>
      </c>
      <c r="E368" s="495" t="s">
        <v>18</v>
      </c>
      <c r="F368" s="495">
        <v>1</v>
      </c>
      <c r="G368" s="495">
        <f>TRUNC(H372,2)</f>
        <v>4.03</v>
      </c>
      <c r="H368" s="219">
        <f>TRUNC(F368*G368,2)</f>
        <v>4.03</v>
      </c>
    </row>
    <row r="369" spans="1:8" ht="12" customHeight="1" x14ac:dyDescent="0.2">
      <c r="A369" s="47"/>
      <c r="B369" s="492"/>
      <c r="C369" s="493" t="s">
        <v>582</v>
      </c>
      <c r="D369" s="494" t="s">
        <v>583</v>
      </c>
      <c r="E369" s="495" t="s">
        <v>18</v>
      </c>
      <c r="F369" s="495">
        <v>1.1550000000000002</v>
      </c>
      <c r="G369" s="495">
        <f>TRUNC(0.94,2)</f>
        <v>0.94</v>
      </c>
      <c r="H369" s="219">
        <f>TRUNC(F369*G369,2)</f>
        <v>1.08</v>
      </c>
    </row>
    <row r="370" spans="1:8" ht="12" customHeight="1" x14ac:dyDescent="0.2">
      <c r="A370" s="47"/>
      <c r="B370" s="492"/>
      <c r="C370" s="493" t="s">
        <v>35</v>
      </c>
      <c r="D370" s="494" t="s">
        <v>36</v>
      </c>
      <c r="E370" s="495" t="s">
        <v>37</v>
      </c>
      <c r="F370" s="495">
        <v>8.2400000000000001E-2</v>
      </c>
      <c r="G370" s="495">
        <f>TRUNC(15.09,2)</f>
        <v>15.09</v>
      </c>
      <c r="H370" s="219">
        <f>TRUNC(F370*G370,2)</f>
        <v>1.24</v>
      </c>
    </row>
    <row r="371" spans="1:8" ht="12" customHeight="1" x14ac:dyDescent="0.2">
      <c r="A371" s="47"/>
      <c r="B371" s="492"/>
      <c r="C371" s="493" t="s">
        <v>153</v>
      </c>
      <c r="D371" s="494" t="s">
        <v>154</v>
      </c>
      <c r="E371" s="495" t="s">
        <v>37</v>
      </c>
      <c r="F371" s="495">
        <v>8.2400000000000001E-2</v>
      </c>
      <c r="G371" s="495">
        <f>TRUNC(20.83,2)</f>
        <v>20.83</v>
      </c>
      <c r="H371" s="219">
        <f>TRUNC(F371*G371,2)</f>
        <v>1.71</v>
      </c>
    </row>
    <row r="372" spans="1:8" ht="12" customHeight="1" x14ac:dyDescent="0.2">
      <c r="A372" s="47"/>
      <c r="B372" s="492"/>
      <c r="C372" s="493"/>
      <c r="D372" s="494"/>
      <c r="E372" s="495"/>
      <c r="F372" s="495" t="s">
        <v>38</v>
      </c>
      <c r="G372" s="495"/>
      <c r="H372" s="219">
        <f>TRUNC(SUM(H369:H371),2)</f>
        <v>4.03</v>
      </c>
    </row>
    <row r="373" spans="1:8" x14ac:dyDescent="0.2">
      <c r="A373" s="47"/>
      <c r="B373" s="492" t="s">
        <v>206</v>
      </c>
      <c r="C373" s="563"/>
      <c r="D373" s="564" t="s">
        <v>214</v>
      </c>
      <c r="E373" s="565"/>
      <c r="F373" s="565"/>
      <c r="G373" s="565"/>
      <c r="H373" s="219"/>
    </row>
    <row r="374" spans="1:8" x14ac:dyDescent="0.2">
      <c r="A374" s="47"/>
      <c r="B374" s="492"/>
      <c r="C374" s="563"/>
      <c r="D374" s="565" t="s">
        <v>208</v>
      </c>
      <c r="E374" s="565"/>
      <c r="F374" s="565"/>
      <c r="G374" s="565"/>
      <c r="H374" s="219"/>
    </row>
    <row r="375" spans="1:8" ht="48" x14ac:dyDescent="0.2">
      <c r="A375" s="47"/>
      <c r="B375" s="492" t="s">
        <v>1063</v>
      </c>
      <c r="C375" s="493" t="s">
        <v>585</v>
      </c>
      <c r="D375" s="494" t="s">
        <v>1270</v>
      </c>
      <c r="E375" s="495" t="s">
        <v>18</v>
      </c>
      <c r="F375" s="495">
        <v>1</v>
      </c>
      <c r="G375" s="495">
        <f>TRUNC(H380,2)</f>
        <v>21.79</v>
      </c>
      <c r="H375" s="219">
        <f>TRUNC(F375*G375,2)</f>
        <v>21.79</v>
      </c>
    </row>
    <row r="376" spans="1:8" ht="24" x14ac:dyDescent="0.2">
      <c r="A376" s="47"/>
      <c r="B376" s="492"/>
      <c r="C376" s="493" t="s">
        <v>85</v>
      </c>
      <c r="D376" s="494" t="s">
        <v>86</v>
      </c>
      <c r="E376" s="495" t="s">
        <v>22</v>
      </c>
      <c r="F376" s="495">
        <v>0.17499999999999999</v>
      </c>
      <c r="G376" s="495">
        <f>TRUNC(45.224,2)</f>
        <v>45.22</v>
      </c>
      <c r="H376" s="219">
        <f>TRUNC(F376*G376,2)</f>
        <v>7.91</v>
      </c>
    </row>
    <row r="377" spans="1:8" ht="24" x14ac:dyDescent="0.2">
      <c r="A377" s="47"/>
      <c r="B377" s="492"/>
      <c r="C377" s="493" t="s">
        <v>45</v>
      </c>
      <c r="D377" s="494" t="s">
        <v>46</v>
      </c>
      <c r="E377" s="495" t="s">
        <v>22</v>
      </c>
      <c r="F377" s="495">
        <v>0.3</v>
      </c>
      <c r="G377" s="495">
        <f>TRUNC(3.17,2)</f>
        <v>3.17</v>
      </c>
      <c r="H377" s="219">
        <f>TRUNC(F377*G377,2)</f>
        <v>0.95</v>
      </c>
    </row>
    <row r="378" spans="1:8" ht="24" x14ac:dyDescent="0.2">
      <c r="A378" s="47"/>
      <c r="B378" s="492"/>
      <c r="C378" s="493" t="s">
        <v>35</v>
      </c>
      <c r="D378" s="494" t="s">
        <v>36</v>
      </c>
      <c r="E378" s="495" t="s">
        <v>37</v>
      </c>
      <c r="F378" s="495">
        <v>0.36049999999999999</v>
      </c>
      <c r="G378" s="495">
        <f>TRUNC(15.09,2)</f>
        <v>15.09</v>
      </c>
      <c r="H378" s="219">
        <f>TRUNC(F378*G378,2)</f>
        <v>5.43</v>
      </c>
    </row>
    <row r="379" spans="1:8" ht="24" x14ac:dyDescent="0.2">
      <c r="A379" s="47"/>
      <c r="B379" s="492"/>
      <c r="C379" s="493" t="s">
        <v>209</v>
      </c>
      <c r="D379" s="494" t="s">
        <v>210</v>
      </c>
      <c r="E379" s="495" t="s">
        <v>37</v>
      </c>
      <c r="F379" s="495">
        <v>0.36049999999999999</v>
      </c>
      <c r="G379" s="495">
        <f>TRUNC(20.83,2)</f>
        <v>20.83</v>
      </c>
      <c r="H379" s="219">
        <f>TRUNC(F379*G379,2)</f>
        <v>7.5</v>
      </c>
    </row>
    <row r="380" spans="1:8" x14ac:dyDescent="0.2">
      <c r="A380" s="47"/>
      <c r="B380" s="492"/>
      <c r="C380" s="493"/>
      <c r="D380" s="494"/>
      <c r="E380" s="495"/>
      <c r="F380" s="495" t="s">
        <v>38</v>
      </c>
      <c r="G380" s="495"/>
      <c r="H380" s="219">
        <f>TRUNC(SUM(H376:H379),2)</f>
        <v>21.79</v>
      </c>
    </row>
    <row r="381" spans="1:8" ht="48" x14ac:dyDescent="0.2">
      <c r="A381" s="47"/>
      <c r="B381" s="492" t="s">
        <v>1064</v>
      </c>
      <c r="C381" s="493" t="s">
        <v>586</v>
      </c>
      <c r="D381" s="494" t="s">
        <v>1271</v>
      </c>
      <c r="E381" s="495" t="s">
        <v>18</v>
      </c>
      <c r="F381" s="495">
        <v>1</v>
      </c>
      <c r="G381" s="495">
        <f>TRUNC(H386,2)</f>
        <v>19.5</v>
      </c>
      <c r="H381" s="219">
        <f>TRUNC(F381*G381,2)</f>
        <v>19.5</v>
      </c>
    </row>
    <row r="382" spans="1:8" ht="24" x14ac:dyDescent="0.2">
      <c r="A382" s="47"/>
      <c r="B382" s="492"/>
      <c r="C382" s="493" t="s">
        <v>105</v>
      </c>
      <c r="D382" s="494" t="s">
        <v>106</v>
      </c>
      <c r="E382" s="495" t="s">
        <v>22</v>
      </c>
      <c r="F382" s="495">
        <v>0.17499999999999999</v>
      </c>
      <c r="G382" s="495">
        <f>TRUNC(43.5731,2)</f>
        <v>43.57</v>
      </c>
      <c r="H382" s="219">
        <f>TRUNC(F382*G382,2)</f>
        <v>7.62</v>
      </c>
    </row>
    <row r="383" spans="1:8" ht="24" x14ac:dyDescent="0.2">
      <c r="A383" s="47"/>
      <c r="B383" s="492"/>
      <c r="C383" s="493" t="s">
        <v>45</v>
      </c>
      <c r="D383" s="494" t="s">
        <v>46</v>
      </c>
      <c r="E383" s="495" t="s">
        <v>22</v>
      </c>
      <c r="F383" s="495">
        <v>0.25</v>
      </c>
      <c r="G383" s="495">
        <f>TRUNC(3.17,2)</f>
        <v>3.17</v>
      </c>
      <c r="H383" s="219">
        <f>TRUNC(F383*G383,2)</f>
        <v>0.79</v>
      </c>
    </row>
    <row r="384" spans="1:8" ht="24" x14ac:dyDescent="0.2">
      <c r="A384" s="47"/>
      <c r="B384" s="492"/>
      <c r="C384" s="493" t="s">
        <v>35</v>
      </c>
      <c r="D384" s="494" t="s">
        <v>36</v>
      </c>
      <c r="E384" s="495" t="s">
        <v>37</v>
      </c>
      <c r="F384" s="495">
        <v>0.309</v>
      </c>
      <c r="G384" s="495">
        <f>TRUNC(15.09,2)</f>
        <v>15.09</v>
      </c>
      <c r="H384" s="219">
        <f>TRUNC(F384*G384,2)</f>
        <v>4.66</v>
      </c>
    </row>
    <row r="385" spans="1:8" ht="24" x14ac:dyDescent="0.2">
      <c r="A385" s="47"/>
      <c r="B385" s="492"/>
      <c r="C385" s="493" t="s">
        <v>209</v>
      </c>
      <c r="D385" s="494" t="s">
        <v>210</v>
      </c>
      <c r="E385" s="495" t="s">
        <v>37</v>
      </c>
      <c r="F385" s="495">
        <v>0.309</v>
      </c>
      <c r="G385" s="495">
        <f>TRUNC(20.83,2)</f>
        <v>20.83</v>
      </c>
      <c r="H385" s="219">
        <f>TRUNC(F385*G385,2)</f>
        <v>6.43</v>
      </c>
    </row>
    <row r="386" spans="1:8" x14ac:dyDescent="0.2">
      <c r="A386" s="47"/>
      <c r="B386" s="492"/>
      <c r="C386" s="493"/>
      <c r="D386" s="494"/>
      <c r="E386" s="495"/>
      <c r="F386" s="495" t="s">
        <v>38</v>
      </c>
      <c r="G386" s="495"/>
      <c r="H386" s="219">
        <f>TRUNC(SUM(H382:H385),2)</f>
        <v>19.5</v>
      </c>
    </row>
    <row r="387" spans="1:8" ht="48" x14ac:dyDescent="0.2">
      <c r="A387" s="47"/>
      <c r="B387" s="492" t="s">
        <v>1065</v>
      </c>
      <c r="C387" s="493" t="s">
        <v>587</v>
      </c>
      <c r="D387" s="494" t="s">
        <v>1272</v>
      </c>
      <c r="E387" s="495" t="s">
        <v>18</v>
      </c>
      <c r="F387" s="495">
        <v>1</v>
      </c>
      <c r="G387" s="495">
        <f>TRUNC(H392,2)</f>
        <v>13.93</v>
      </c>
      <c r="H387" s="219">
        <f>TRUNC(F387*G387,2)</f>
        <v>13.93</v>
      </c>
    </row>
    <row r="388" spans="1:8" ht="24" x14ac:dyDescent="0.2">
      <c r="A388" s="47"/>
      <c r="B388" s="492"/>
      <c r="C388" s="493" t="s">
        <v>87</v>
      </c>
      <c r="D388" s="494" t="s">
        <v>88</v>
      </c>
      <c r="E388" s="495" t="s">
        <v>22</v>
      </c>
      <c r="F388" s="495">
        <v>0.17499999999999999</v>
      </c>
      <c r="G388" s="495">
        <f>TRUNC(29.9326,2)</f>
        <v>29.93</v>
      </c>
      <c r="H388" s="219">
        <f>TRUNC(F388*G388,2)</f>
        <v>5.23</v>
      </c>
    </row>
    <row r="389" spans="1:8" ht="24" x14ac:dyDescent="0.2">
      <c r="A389" s="47"/>
      <c r="B389" s="492"/>
      <c r="C389" s="493" t="s">
        <v>45</v>
      </c>
      <c r="D389" s="494" t="s">
        <v>46</v>
      </c>
      <c r="E389" s="495" t="s">
        <v>22</v>
      </c>
      <c r="F389" s="495">
        <v>0.18</v>
      </c>
      <c r="G389" s="495">
        <f>TRUNC(3.17,2)</f>
        <v>3.17</v>
      </c>
      <c r="H389" s="219">
        <f>TRUNC(F389*G389,2)</f>
        <v>0.56999999999999995</v>
      </c>
    </row>
    <row r="390" spans="1:8" ht="24" x14ac:dyDescent="0.2">
      <c r="A390" s="47"/>
      <c r="B390" s="492"/>
      <c r="C390" s="493" t="s">
        <v>35</v>
      </c>
      <c r="D390" s="494" t="s">
        <v>36</v>
      </c>
      <c r="E390" s="495" t="s">
        <v>37</v>
      </c>
      <c r="F390" s="495">
        <v>0.2266</v>
      </c>
      <c r="G390" s="495">
        <f>TRUNC(15.09,2)</f>
        <v>15.09</v>
      </c>
      <c r="H390" s="219">
        <f>TRUNC(F390*G390,2)</f>
        <v>3.41</v>
      </c>
    </row>
    <row r="391" spans="1:8" ht="24" x14ac:dyDescent="0.2">
      <c r="A391" s="47"/>
      <c r="B391" s="492"/>
      <c r="C391" s="493" t="s">
        <v>209</v>
      </c>
      <c r="D391" s="494" t="s">
        <v>210</v>
      </c>
      <c r="E391" s="495" t="s">
        <v>37</v>
      </c>
      <c r="F391" s="495">
        <v>0.2266</v>
      </c>
      <c r="G391" s="495">
        <f>TRUNC(20.83,2)</f>
        <v>20.83</v>
      </c>
      <c r="H391" s="219">
        <f>TRUNC(F391*G391,2)</f>
        <v>4.72</v>
      </c>
    </row>
    <row r="392" spans="1:8" x14ac:dyDescent="0.2">
      <c r="A392" s="47"/>
      <c r="B392" s="492"/>
      <c r="C392" s="493"/>
      <c r="D392" s="494"/>
      <c r="E392" s="495"/>
      <c r="F392" s="495" t="s">
        <v>38</v>
      </c>
      <c r="G392" s="495"/>
      <c r="H392" s="219">
        <f>TRUNC(SUM(H388:H391),2)</f>
        <v>13.93</v>
      </c>
    </row>
    <row r="393" spans="1:8" ht="48" x14ac:dyDescent="0.2">
      <c r="A393" s="47"/>
      <c r="B393" s="492" t="s">
        <v>1066</v>
      </c>
      <c r="C393" s="493" t="s">
        <v>588</v>
      </c>
      <c r="D393" s="494" t="s">
        <v>1273</v>
      </c>
      <c r="E393" s="495" t="s">
        <v>18</v>
      </c>
      <c r="F393" s="495">
        <v>1</v>
      </c>
      <c r="G393" s="495">
        <f>TRUNC(H398,2)</f>
        <v>10.1</v>
      </c>
      <c r="H393" s="219">
        <f>TRUNC(F393*G393,2)</f>
        <v>10.1</v>
      </c>
    </row>
    <row r="394" spans="1:8" ht="24" x14ac:dyDescent="0.2">
      <c r="A394" s="47"/>
      <c r="B394" s="492"/>
      <c r="C394" s="493" t="s">
        <v>211</v>
      </c>
      <c r="D394" s="494" t="s">
        <v>212</v>
      </c>
      <c r="E394" s="495" t="s">
        <v>22</v>
      </c>
      <c r="F394" s="495">
        <v>0.17499999999999999</v>
      </c>
      <c r="G394" s="495">
        <f>TRUNC(17.2208,2)</f>
        <v>17.22</v>
      </c>
      <c r="H394" s="219">
        <f>TRUNC(F394*G394,2)</f>
        <v>3.01</v>
      </c>
    </row>
    <row r="395" spans="1:8" ht="24" x14ac:dyDescent="0.2">
      <c r="A395" s="47"/>
      <c r="B395" s="492"/>
      <c r="C395" s="493" t="s">
        <v>45</v>
      </c>
      <c r="D395" s="494" t="s">
        <v>46</v>
      </c>
      <c r="E395" s="495" t="s">
        <v>22</v>
      </c>
      <c r="F395" s="495">
        <v>0.14000000000000001</v>
      </c>
      <c r="G395" s="495">
        <f>TRUNC(3.17,2)</f>
        <v>3.17</v>
      </c>
      <c r="H395" s="219">
        <f>TRUNC(F395*G395,2)</f>
        <v>0.44</v>
      </c>
    </row>
    <row r="396" spans="1:8" ht="24" x14ac:dyDescent="0.2">
      <c r="A396" s="47"/>
      <c r="B396" s="492"/>
      <c r="C396" s="493" t="s">
        <v>35</v>
      </c>
      <c r="D396" s="494" t="s">
        <v>36</v>
      </c>
      <c r="E396" s="495" t="s">
        <v>37</v>
      </c>
      <c r="F396" s="495">
        <v>0.18540000000000001</v>
      </c>
      <c r="G396" s="495">
        <f>TRUNC(15.09,2)</f>
        <v>15.09</v>
      </c>
      <c r="H396" s="219">
        <f>TRUNC(F396*G396,2)</f>
        <v>2.79</v>
      </c>
    </row>
    <row r="397" spans="1:8" ht="24" x14ac:dyDescent="0.2">
      <c r="A397" s="47"/>
      <c r="B397" s="492"/>
      <c r="C397" s="493" t="s">
        <v>209</v>
      </c>
      <c r="D397" s="494" t="s">
        <v>210</v>
      </c>
      <c r="E397" s="495" t="s">
        <v>37</v>
      </c>
      <c r="F397" s="495">
        <v>0.18540000000000001</v>
      </c>
      <c r="G397" s="495">
        <f>TRUNC(20.83,2)</f>
        <v>20.83</v>
      </c>
      <c r="H397" s="219">
        <f>TRUNC(F397*G397,2)</f>
        <v>3.86</v>
      </c>
    </row>
    <row r="398" spans="1:8" x14ac:dyDescent="0.2">
      <c r="A398" s="47"/>
      <c r="B398" s="492"/>
      <c r="C398" s="493"/>
      <c r="D398" s="494"/>
      <c r="E398" s="495"/>
      <c r="F398" s="495" t="s">
        <v>38</v>
      </c>
      <c r="G398" s="495"/>
      <c r="H398" s="219">
        <f>TRUNC(SUM(H394:H397),2)</f>
        <v>10.1</v>
      </c>
    </row>
    <row r="399" spans="1:8" ht="54" customHeight="1" x14ac:dyDescent="0.2">
      <c r="A399" s="47"/>
      <c r="B399" s="492" t="s">
        <v>1067</v>
      </c>
      <c r="C399" s="493" t="s">
        <v>593</v>
      </c>
      <c r="D399" s="494" t="s">
        <v>1587</v>
      </c>
      <c r="E399" s="495" t="s">
        <v>22</v>
      </c>
      <c r="F399" s="495">
        <v>1</v>
      </c>
      <c r="G399" s="495">
        <f>H410</f>
        <v>54.6</v>
      </c>
      <c r="H399" s="219">
        <f>TRUNC(F399*G399,2)</f>
        <v>54.6</v>
      </c>
    </row>
    <row r="400" spans="1:8" ht="11.25" customHeight="1" x14ac:dyDescent="0.2">
      <c r="A400" s="47"/>
      <c r="B400" s="492"/>
      <c r="C400" s="493" t="s">
        <v>1274</v>
      </c>
      <c r="D400" s="494" t="s">
        <v>216</v>
      </c>
      <c r="E400" s="495" t="s">
        <v>22</v>
      </c>
      <c r="F400" s="495">
        <v>5.7000000000000002E-2</v>
      </c>
      <c r="G400" s="495">
        <v>1.56</v>
      </c>
      <c r="H400" s="219">
        <f>TRUNC(F400*G400,2)</f>
        <v>0.08</v>
      </c>
    </row>
    <row r="401" spans="1:8" ht="11.25" customHeight="1" x14ac:dyDescent="0.2">
      <c r="A401" s="47"/>
      <c r="B401" s="492"/>
      <c r="C401" s="493" t="s">
        <v>1275</v>
      </c>
      <c r="D401" s="494" t="s">
        <v>219</v>
      </c>
      <c r="E401" s="495" t="s">
        <v>22</v>
      </c>
      <c r="F401" s="495">
        <v>2.2499999999999999E-2</v>
      </c>
      <c r="G401" s="495">
        <v>46.52</v>
      </c>
      <c r="H401" s="219">
        <f>TRUNC(F401*G401,2)</f>
        <v>1.04</v>
      </c>
    </row>
    <row r="402" spans="1:8" ht="11.25" customHeight="1" x14ac:dyDescent="0.2">
      <c r="A402" s="47"/>
      <c r="B402" s="492"/>
      <c r="C402" s="493" t="s">
        <v>1276</v>
      </c>
      <c r="D402" s="494" t="s">
        <v>220</v>
      </c>
      <c r="E402" s="495" t="s">
        <v>22</v>
      </c>
      <c r="F402" s="495">
        <v>0.03</v>
      </c>
      <c r="G402" s="495">
        <v>19.61</v>
      </c>
      <c r="H402" s="219">
        <f>TRUNC(F402*G402,2)</f>
        <v>0.57999999999999996</v>
      </c>
    </row>
    <row r="403" spans="1:8" ht="11.25" customHeight="1" x14ac:dyDescent="0.2">
      <c r="A403" s="47"/>
      <c r="B403" s="492"/>
      <c r="C403" s="566" t="s">
        <v>226</v>
      </c>
      <c r="D403" s="567" t="s">
        <v>215</v>
      </c>
      <c r="E403" s="568" t="s">
        <v>22</v>
      </c>
      <c r="F403" s="568">
        <v>1</v>
      </c>
      <c r="G403" s="568">
        <f>TRUNC(43.67,2)</f>
        <v>43.67</v>
      </c>
      <c r="H403" s="377"/>
    </row>
    <row r="404" spans="1:8" ht="11.25" customHeight="1" x14ac:dyDescent="0.2">
      <c r="A404" s="47"/>
      <c r="B404" s="492"/>
      <c r="C404" s="566" t="s">
        <v>227</v>
      </c>
      <c r="D404" s="567" t="s">
        <v>228</v>
      </c>
      <c r="E404" s="568" t="s">
        <v>22</v>
      </c>
      <c r="F404" s="568">
        <v>1</v>
      </c>
      <c r="G404" s="568">
        <f>TRUNC(1.99,2)</f>
        <v>1.99</v>
      </c>
      <c r="H404" s="377"/>
    </row>
    <row r="405" spans="1:8" ht="11.25" customHeight="1" x14ac:dyDescent="0.2">
      <c r="A405" s="47"/>
      <c r="B405" s="492"/>
      <c r="C405" s="493" t="s">
        <v>594</v>
      </c>
      <c r="D405" s="494" t="s">
        <v>213</v>
      </c>
      <c r="E405" s="495" t="s">
        <v>22</v>
      </c>
      <c r="F405" s="495">
        <v>1</v>
      </c>
      <c r="G405" s="495">
        <v>32.299999999999997</v>
      </c>
      <c r="H405" s="219">
        <f t="shared" ref="H405:H406" si="12">TRUNC(F405*G405,2)</f>
        <v>32.299999999999997</v>
      </c>
    </row>
    <row r="406" spans="1:8" ht="11.25" customHeight="1" x14ac:dyDescent="0.2">
      <c r="A406" s="47"/>
      <c r="B406" s="492"/>
      <c r="C406" s="493" t="s">
        <v>229</v>
      </c>
      <c r="D406" s="494" t="s">
        <v>230</v>
      </c>
      <c r="E406" s="495" t="s">
        <v>22</v>
      </c>
      <c r="F406" s="495">
        <v>1</v>
      </c>
      <c r="G406" s="495">
        <v>1.41</v>
      </c>
      <c r="H406" s="219">
        <f t="shared" si="12"/>
        <v>1.41</v>
      </c>
    </row>
    <row r="407" spans="1:8" ht="11.25" customHeight="1" x14ac:dyDescent="0.2">
      <c r="A407" s="47"/>
      <c r="B407" s="492"/>
      <c r="C407" s="493" t="s">
        <v>1277</v>
      </c>
      <c r="D407" s="494" t="s">
        <v>223</v>
      </c>
      <c r="E407" s="495" t="s">
        <v>22</v>
      </c>
      <c r="F407" s="495">
        <v>1.4800000000000001E-2</v>
      </c>
      <c r="G407" s="495">
        <v>53.56</v>
      </c>
      <c r="H407" s="219">
        <f>TRUNC(F407*G407,2)</f>
        <v>0.79</v>
      </c>
    </row>
    <row r="408" spans="1:8" ht="11.25" customHeight="1" x14ac:dyDescent="0.2">
      <c r="A408" s="47"/>
      <c r="B408" s="492"/>
      <c r="C408" s="493" t="s">
        <v>1199</v>
      </c>
      <c r="D408" s="494" t="s">
        <v>224</v>
      </c>
      <c r="E408" s="495" t="s">
        <v>37</v>
      </c>
      <c r="F408" s="495">
        <v>0.38</v>
      </c>
      <c r="G408" s="495">
        <f>TRUNC(27.24,2)</f>
        <v>27.24</v>
      </c>
      <c r="H408" s="219">
        <f>TRUNC(F408*G408,2)</f>
        <v>10.35</v>
      </c>
    </row>
    <row r="409" spans="1:8" ht="11.25" customHeight="1" x14ac:dyDescent="0.2">
      <c r="A409" s="47"/>
      <c r="B409" s="492"/>
      <c r="C409" s="493" t="s">
        <v>1278</v>
      </c>
      <c r="D409" s="494" t="s">
        <v>225</v>
      </c>
      <c r="E409" s="495" t="s">
        <v>37</v>
      </c>
      <c r="F409" s="495">
        <v>0.38</v>
      </c>
      <c r="G409" s="495">
        <f>TRUNC(21.21,2)</f>
        <v>21.21</v>
      </c>
      <c r="H409" s="219">
        <f>TRUNC(F409*G409,2)</f>
        <v>8.0500000000000007</v>
      </c>
    </row>
    <row r="410" spans="1:8" ht="11.25" customHeight="1" x14ac:dyDescent="0.2">
      <c r="A410" s="47"/>
      <c r="B410" s="492"/>
      <c r="C410" s="493"/>
      <c r="D410" s="495"/>
      <c r="E410" s="495"/>
      <c r="F410" s="495" t="s">
        <v>38</v>
      </c>
      <c r="G410" s="495"/>
      <c r="H410" s="219">
        <f>TRUNC(SUM(H400:H409),2)</f>
        <v>54.6</v>
      </c>
    </row>
    <row r="411" spans="1:8" s="295" customFormat="1" ht="54" customHeight="1" x14ac:dyDescent="0.2">
      <c r="A411" s="474"/>
      <c r="B411" s="492" t="s">
        <v>1068</v>
      </c>
      <c r="C411" s="493" t="s">
        <v>636</v>
      </c>
      <c r="D411" s="494" t="s">
        <v>637</v>
      </c>
      <c r="E411" s="495" t="s">
        <v>22</v>
      </c>
      <c r="F411" s="495">
        <v>1</v>
      </c>
      <c r="G411" s="495">
        <f>TRUNC(H420,2)</f>
        <v>66.87</v>
      </c>
      <c r="H411" s="219">
        <f>TRUNC(F411*G411,2)</f>
        <v>66.87</v>
      </c>
    </row>
    <row r="412" spans="1:8" ht="11.25" customHeight="1" x14ac:dyDescent="0.2">
      <c r="A412" s="47"/>
      <c r="B412" s="492"/>
      <c r="C412" s="493" t="s">
        <v>1274</v>
      </c>
      <c r="D412" s="494" t="s">
        <v>216</v>
      </c>
      <c r="E412" s="495" t="s">
        <v>22</v>
      </c>
      <c r="F412" s="495">
        <v>5.7000000000000002E-2</v>
      </c>
      <c r="G412" s="495">
        <v>1.56</v>
      </c>
      <c r="H412" s="219">
        <f>TRUNC(F412*G412,2)</f>
        <v>0.08</v>
      </c>
    </row>
    <row r="413" spans="1:8" ht="11.25" customHeight="1" x14ac:dyDescent="0.2">
      <c r="A413" s="47"/>
      <c r="B413" s="492"/>
      <c r="C413" s="493" t="s">
        <v>1275</v>
      </c>
      <c r="D413" s="494" t="s">
        <v>219</v>
      </c>
      <c r="E413" s="495" t="s">
        <v>22</v>
      </c>
      <c r="F413" s="495">
        <v>2.2499999999999999E-2</v>
      </c>
      <c r="G413" s="495">
        <v>46.52</v>
      </c>
      <c r="H413" s="219">
        <f>TRUNC(F413*G413,2)</f>
        <v>1.04</v>
      </c>
    </row>
    <row r="414" spans="1:8" ht="11.25" customHeight="1" x14ac:dyDescent="0.2">
      <c r="A414" s="47"/>
      <c r="B414" s="492"/>
      <c r="C414" s="493" t="s">
        <v>1276</v>
      </c>
      <c r="D414" s="494" t="s">
        <v>220</v>
      </c>
      <c r="E414" s="495" t="s">
        <v>22</v>
      </c>
      <c r="F414" s="495">
        <v>0.03</v>
      </c>
      <c r="G414" s="495">
        <v>19.61</v>
      </c>
      <c r="H414" s="219">
        <f>TRUNC(F414*G414,2)</f>
        <v>0.57999999999999996</v>
      </c>
    </row>
    <row r="415" spans="1:8" ht="11.25" customHeight="1" x14ac:dyDescent="0.2">
      <c r="A415" s="47"/>
      <c r="B415" s="492"/>
      <c r="C415" s="493" t="s">
        <v>1279</v>
      </c>
      <c r="D415" s="494" t="s">
        <v>215</v>
      </c>
      <c r="E415" s="495" t="s">
        <v>22</v>
      </c>
      <c r="F415" s="495">
        <v>1</v>
      </c>
      <c r="G415" s="495">
        <v>44.07</v>
      </c>
      <c r="H415" s="219">
        <f t="shared" ref="H415:H416" si="13">TRUNC(F415*G415,2)</f>
        <v>44.07</v>
      </c>
    </row>
    <row r="416" spans="1:8" ht="11.25" customHeight="1" x14ac:dyDescent="0.2">
      <c r="A416" s="47"/>
      <c r="B416" s="492"/>
      <c r="C416" s="493" t="s">
        <v>1280</v>
      </c>
      <c r="D416" s="494" t="s">
        <v>228</v>
      </c>
      <c r="E416" s="495" t="s">
        <v>22</v>
      </c>
      <c r="F416" s="495">
        <v>1</v>
      </c>
      <c r="G416" s="495">
        <v>1.91</v>
      </c>
      <c r="H416" s="219">
        <f t="shared" si="13"/>
        <v>1.91</v>
      </c>
    </row>
    <row r="417" spans="1:8" ht="11.25" customHeight="1" x14ac:dyDescent="0.2">
      <c r="A417" s="47"/>
      <c r="B417" s="492"/>
      <c r="C417" s="493" t="s">
        <v>1277</v>
      </c>
      <c r="D417" s="494" t="s">
        <v>223</v>
      </c>
      <c r="E417" s="495" t="s">
        <v>22</v>
      </c>
      <c r="F417" s="495">
        <v>1.4800000000000001E-2</v>
      </c>
      <c r="G417" s="495">
        <v>53.56</v>
      </c>
      <c r="H417" s="219">
        <f>TRUNC(F417*G417,2)</f>
        <v>0.79</v>
      </c>
    </row>
    <row r="418" spans="1:8" ht="11.25" customHeight="1" x14ac:dyDescent="0.2">
      <c r="A418" s="47"/>
      <c r="B418" s="492"/>
      <c r="C418" s="493" t="s">
        <v>1199</v>
      </c>
      <c r="D418" s="494" t="s">
        <v>224</v>
      </c>
      <c r="E418" s="495" t="s">
        <v>37</v>
      </c>
      <c r="F418" s="495">
        <v>0.38</v>
      </c>
      <c r="G418" s="495">
        <f>TRUNC(27.24,2)</f>
        <v>27.24</v>
      </c>
      <c r="H418" s="219">
        <f>TRUNC(F418*G418,2)</f>
        <v>10.35</v>
      </c>
    </row>
    <row r="419" spans="1:8" ht="11.25" customHeight="1" x14ac:dyDescent="0.2">
      <c r="A419" s="47"/>
      <c r="B419" s="492"/>
      <c r="C419" s="493" t="s">
        <v>1278</v>
      </c>
      <c r="D419" s="494" t="s">
        <v>225</v>
      </c>
      <c r="E419" s="495" t="s">
        <v>37</v>
      </c>
      <c r="F419" s="495">
        <v>0.38</v>
      </c>
      <c r="G419" s="495">
        <f>TRUNC(21.21,2)</f>
        <v>21.21</v>
      </c>
      <c r="H419" s="219">
        <f>TRUNC(F419*G419,2)</f>
        <v>8.0500000000000007</v>
      </c>
    </row>
    <row r="420" spans="1:8" ht="11.25" customHeight="1" x14ac:dyDescent="0.2">
      <c r="A420" s="47"/>
      <c r="B420" s="492"/>
      <c r="C420" s="493"/>
      <c r="D420" s="495"/>
      <c r="E420" s="495"/>
      <c r="F420" s="495" t="s">
        <v>38</v>
      </c>
      <c r="G420" s="495"/>
      <c r="H420" s="219">
        <f>SUM(H412:H419)</f>
        <v>66.87</v>
      </c>
    </row>
    <row r="421" spans="1:8" ht="55.5" customHeight="1" x14ac:dyDescent="0.2">
      <c r="A421" s="47"/>
      <c r="B421" s="492" t="s">
        <v>1069</v>
      </c>
      <c r="C421" s="493" t="s">
        <v>231</v>
      </c>
      <c r="D421" s="494" t="s">
        <v>1588</v>
      </c>
      <c r="E421" s="495" t="s">
        <v>22</v>
      </c>
      <c r="F421" s="495">
        <v>1</v>
      </c>
      <c r="G421" s="495">
        <f>H431</f>
        <v>23.82</v>
      </c>
      <c r="H421" s="219">
        <f>TRUNC(F421*G421,2)</f>
        <v>23.82</v>
      </c>
    </row>
    <row r="422" spans="1:8" ht="11.25" customHeight="1" x14ac:dyDescent="0.2">
      <c r="A422" s="47"/>
      <c r="B422" s="492"/>
      <c r="C422" s="493" t="s">
        <v>1274</v>
      </c>
      <c r="D422" s="494" t="s">
        <v>216</v>
      </c>
      <c r="E422" s="495" t="s">
        <v>22</v>
      </c>
      <c r="F422" s="495">
        <v>3.6499999999999998E-2</v>
      </c>
      <c r="G422" s="495">
        <v>1.56</v>
      </c>
      <c r="H422" s="219">
        <f>TRUNC(F422*G422,2)</f>
        <v>0.05</v>
      </c>
    </row>
    <row r="423" spans="1:8" ht="11.25" customHeight="1" x14ac:dyDescent="0.2">
      <c r="A423" s="47"/>
      <c r="B423" s="492"/>
      <c r="C423" s="566" t="s">
        <v>217</v>
      </c>
      <c r="D423" s="567" t="s">
        <v>218</v>
      </c>
      <c r="E423" s="568" t="s">
        <v>22</v>
      </c>
      <c r="F423" s="568">
        <v>1</v>
      </c>
      <c r="G423" s="568">
        <f>TRUNC(1.26,2)</f>
        <v>1.26</v>
      </c>
      <c r="H423" s="377"/>
    </row>
    <row r="424" spans="1:8" ht="11.25" customHeight="1" x14ac:dyDescent="0.2">
      <c r="A424" s="47"/>
      <c r="B424" s="492"/>
      <c r="C424" s="493" t="s">
        <v>1281</v>
      </c>
      <c r="D424" s="494" t="s">
        <v>596</v>
      </c>
      <c r="E424" s="495" t="s">
        <v>22</v>
      </c>
      <c r="F424" s="495">
        <v>1</v>
      </c>
      <c r="G424" s="495">
        <v>1.01</v>
      </c>
      <c r="H424" s="219">
        <f t="shared" ref="H424:H430" si="14">TRUNC(F424*G424,2)</f>
        <v>1.01</v>
      </c>
    </row>
    <row r="425" spans="1:8" ht="11.25" customHeight="1" x14ac:dyDescent="0.2">
      <c r="A425" s="47"/>
      <c r="B425" s="492"/>
      <c r="C425" s="493" t="s">
        <v>1275</v>
      </c>
      <c r="D425" s="494" t="s">
        <v>219</v>
      </c>
      <c r="E425" s="495" t="s">
        <v>22</v>
      </c>
      <c r="F425" s="495">
        <v>2.2499999999999999E-2</v>
      </c>
      <c r="G425" s="495">
        <v>46.52</v>
      </c>
      <c r="H425" s="219">
        <f t="shared" si="14"/>
        <v>1.04</v>
      </c>
    </row>
    <row r="426" spans="1:8" ht="11.25" customHeight="1" x14ac:dyDescent="0.2">
      <c r="A426" s="47"/>
      <c r="B426" s="492"/>
      <c r="C426" s="493" t="s">
        <v>1276</v>
      </c>
      <c r="D426" s="494" t="s">
        <v>220</v>
      </c>
      <c r="E426" s="495" t="s">
        <v>22</v>
      </c>
      <c r="F426" s="495">
        <v>0.02</v>
      </c>
      <c r="G426" s="495">
        <v>19.61</v>
      </c>
      <c r="H426" s="219">
        <f t="shared" si="14"/>
        <v>0.39</v>
      </c>
    </row>
    <row r="427" spans="1:8" ht="11.25" customHeight="1" x14ac:dyDescent="0.2">
      <c r="A427" s="47"/>
      <c r="B427" s="492"/>
      <c r="C427" s="493" t="s">
        <v>1282</v>
      </c>
      <c r="D427" s="494" t="s">
        <v>221</v>
      </c>
      <c r="E427" s="495" t="s">
        <v>22</v>
      </c>
      <c r="F427" s="495">
        <v>1</v>
      </c>
      <c r="G427" s="495">
        <v>14</v>
      </c>
      <c r="H427" s="219">
        <f t="shared" si="14"/>
        <v>14</v>
      </c>
    </row>
    <row r="428" spans="1:8" ht="11.25" customHeight="1" x14ac:dyDescent="0.2">
      <c r="A428" s="47"/>
      <c r="B428" s="492"/>
      <c r="C428" s="493" t="s">
        <v>222</v>
      </c>
      <c r="D428" s="494" t="s">
        <v>223</v>
      </c>
      <c r="E428" s="495" t="s">
        <v>22</v>
      </c>
      <c r="F428" s="495">
        <v>1.4800000000000001E-2</v>
      </c>
      <c r="G428" s="495">
        <f>TRUNC(54.2,2)</f>
        <v>54.2</v>
      </c>
      <c r="H428" s="219">
        <f t="shared" si="14"/>
        <v>0.8</v>
      </c>
    </row>
    <row r="429" spans="1:8" ht="11.25" customHeight="1" x14ac:dyDescent="0.2">
      <c r="A429" s="47"/>
      <c r="B429" s="492"/>
      <c r="C429" s="493" t="s">
        <v>1199</v>
      </c>
      <c r="D429" s="494" t="s">
        <v>224</v>
      </c>
      <c r="E429" s="495" t="s">
        <v>37</v>
      </c>
      <c r="F429" s="495">
        <v>0.13500000000000001</v>
      </c>
      <c r="G429" s="495">
        <f>TRUNC(27.24,2)</f>
        <v>27.24</v>
      </c>
      <c r="H429" s="219">
        <f t="shared" si="14"/>
        <v>3.67</v>
      </c>
    </row>
    <row r="430" spans="1:8" ht="11.25" customHeight="1" x14ac:dyDescent="0.2">
      <c r="A430" s="47"/>
      <c r="B430" s="492"/>
      <c r="C430" s="493" t="s">
        <v>1278</v>
      </c>
      <c r="D430" s="494" t="s">
        <v>225</v>
      </c>
      <c r="E430" s="495" t="s">
        <v>37</v>
      </c>
      <c r="F430" s="495">
        <v>0.13500000000000001</v>
      </c>
      <c r="G430" s="495">
        <f>TRUNC(21.21,2)</f>
        <v>21.21</v>
      </c>
      <c r="H430" s="219">
        <f t="shared" si="14"/>
        <v>2.86</v>
      </c>
    </row>
    <row r="431" spans="1:8" ht="11.25" customHeight="1" x14ac:dyDescent="0.2">
      <c r="A431" s="47"/>
      <c r="B431" s="492"/>
      <c r="C431" s="493"/>
      <c r="D431" s="495"/>
      <c r="E431" s="495"/>
      <c r="F431" s="495" t="s">
        <v>38</v>
      </c>
      <c r="G431" s="495"/>
      <c r="H431" s="219">
        <f>SUM(H422:H430)</f>
        <v>23.82</v>
      </c>
    </row>
    <row r="432" spans="1:8" ht="11.25" customHeight="1" x14ac:dyDescent="0.2">
      <c r="A432" s="47"/>
      <c r="B432" s="492"/>
      <c r="C432" s="493"/>
      <c r="D432" s="495"/>
      <c r="E432" s="495"/>
      <c r="F432" s="495"/>
      <c r="G432" s="495"/>
      <c r="H432" s="219"/>
    </row>
    <row r="433" spans="1:8" ht="50.25" customHeight="1" x14ac:dyDescent="0.2">
      <c r="A433" s="47"/>
      <c r="B433" s="492" t="s">
        <v>1070</v>
      </c>
      <c r="C433" s="493" t="s">
        <v>597</v>
      </c>
      <c r="D433" s="494" t="s">
        <v>1589</v>
      </c>
      <c r="E433" s="495" t="s">
        <v>22</v>
      </c>
      <c r="F433" s="495">
        <v>1</v>
      </c>
      <c r="G433" s="495">
        <f>TRUNC(H436,2)</f>
        <v>17.649999999999999</v>
      </c>
      <c r="H433" s="219">
        <f>TRUNC(F433*G433,2)</f>
        <v>17.649999999999999</v>
      </c>
    </row>
    <row r="434" spans="1:8" ht="24" x14ac:dyDescent="0.2">
      <c r="A434" s="47"/>
      <c r="B434" s="492"/>
      <c r="C434" s="493" t="s">
        <v>237</v>
      </c>
      <c r="D434" s="494" t="s">
        <v>236</v>
      </c>
      <c r="E434" s="495" t="s">
        <v>22</v>
      </c>
      <c r="F434" s="495">
        <v>1</v>
      </c>
      <c r="G434" s="495">
        <v>17.649999999999999</v>
      </c>
      <c r="H434" s="219">
        <f>TRUNC(F434*G434,2)</f>
        <v>17.649999999999999</v>
      </c>
    </row>
    <row r="435" spans="1:8" ht="24" x14ac:dyDescent="0.2">
      <c r="A435" s="47"/>
      <c r="B435" s="492"/>
      <c r="C435" s="493" t="s">
        <v>234</v>
      </c>
      <c r="D435" s="494" t="s">
        <v>235</v>
      </c>
      <c r="E435" s="495" t="s">
        <v>22</v>
      </c>
      <c r="F435" s="495">
        <v>0</v>
      </c>
      <c r="G435" s="495">
        <f>TRUNC(11.75,2)</f>
        <v>11.75</v>
      </c>
      <c r="H435" s="219">
        <f>TRUNC(F435*G435,2)</f>
        <v>0</v>
      </c>
    </row>
    <row r="436" spans="1:8" x14ac:dyDescent="0.2">
      <c r="A436" s="47"/>
      <c r="B436" s="492"/>
      <c r="C436" s="493"/>
      <c r="D436" s="494"/>
      <c r="E436" s="495"/>
      <c r="F436" s="495" t="s">
        <v>38</v>
      </c>
      <c r="G436" s="495"/>
      <c r="H436" s="219">
        <f>TRUNC(SUM(H434:H435),2)</f>
        <v>17.649999999999999</v>
      </c>
    </row>
    <row r="437" spans="1:8" ht="24" x14ac:dyDescent="0.2">
      <c r="A437" s="47"/>
      <c r="B437" s="492" t="s">
        <v>1071</v>
      </c>
      <c r="C437" s="493" t="s">
        <v>232</v>
      </c>
      <c r="D437" s="494" t="s">
        <v>233</v>
      </c>
      <c r="E437" s="495" t="s">
        <v>22</v>
      </c>
      <c r="F437" s="495">
        <v>1</v>
      </c>
      <c r="G437" s="495">
        <f>TRUNC(H439,2)</f>
        <v>11.75</v>
      </c>
      <c r="H437" s="219">
        <f>TRUNC(F437*G437,2)</f>
        <v>11.75</v>
      </c>
    </row>
    <row r="438" spans="1:8" ht="24" x14ac:dyDescent="0.2">
      <c r="A438" s="47"/>
      <c r="B438" s="492"/>
      <c r="C438" s="493" t="s">
        <v>234</v>
      </c>
      <c r="D438" s="494" t="s">
        <v>235</v>
      </c>
      <c r="E438" s="495" t="s">
        <v>22</v>
      </c>
      <c r="F438" s="495">
        <v>1</v>
      </c>
      <c r="G438" s="495">
        <f>TRUNC(11.75,2)</f>
        <v>11.75</v>
      </c>
      <c r="H438" s="219">
        <f>TRUNC(F438*G438,2)</f>
        <v>11.75</v>
      </c>
    </row>
    <row r="439" spans="1:8" x14ac:dyDescent="0.2">
      <c r="A439" s="47"/>
      <c r="B439" s="492"/>
      <c r="C439" s="493"/>
      <c r="D439" s="494"/>
      <c r="E439" s="495"/>
      <c r="F439" s="495" t="s">
        <v>38</v>
      </c>
      <c r="G439" s="495"/>
      <c r="H439" s="219">
        <f>TRUNC(SUM(H438:H438),2)</f>
        <v>11.75</v>
      </c>
    </row>
    <row r="440" spans="1:8" ht="36" x14ac:dyDescent="0.2">
      <c r="A440" s="47"/>
      <c r="B440" s="492" t="s">
        <v>1072</v>
      </c>
      <c r="C440" s="493" t="s">
        <v>1283</v>
      </c>
      <c r="D440" s="494" t="s">
        <v>239</v>
      </c>
      <c r="E440" s="495" t="s">
        <v>22</v>
      </c>
      <c r="F440" s="495">
        <v>1</v>
      </c>
      <c r="G440" s="495">
        <f>TRUNC(H447,2)</f>
        <v>67.98</v>
      </c>
      <c r="H440" s="219">
        <f t="shared" ref="H440:H446" si="15">TRUNC(F440*G440,2)</f>
        <v>67.98</v>
      </c>
    </row>
    <row r="441" spans="1:8" ht="24" x14ac:dyDescent="0.2">
      <c r="A441" s="47"/>
      <c r="B441" s="492"/>
      <c r="C441" s="493" t="s">
        <v>1284</v>
      </c>
      <c r="D441" s="494" t="s">
        <v>240</v>
      </c>
      <c r="E441" s="495" t="s">
        <v>22</v>
      </c>
      <c r="F441" s="495">
        <v>1</v>
      </c>
      <c r="G441" s="495">
        <f>TRUNC(58.01,2)</f>
        <v>58.01</v>
      </c>
      <c r="H441" s="219">
        <f t="shared" si="15"/>
        <v>58.01</v>
      </c>
    </row>
    <row r="442" spans="1:8" x14ac:dyDescent="0.2">
      <c r="A442" s="47"/>
      <c r="B442" s="492"/>
      <c r="C442" s="493" t="s">
        <v>1184</v>
      </c>
      <c r="D442" s="494" t="s">
        <v>39</v>
      </c>
      <c r="E442" s="495" t="s">
        <v>37</v>
      </c>
      <c r="F442" s="495">
        <v>6.4199999999999993E-2</v>
      </c>
      <c r="G442" s="495">
        <f>TRUNC(21.86,2)</f>
        <v>21.86</v>
      </c>
      <c r="H442" s="219">
        <f t="shared" si="15"/>
        <v>1.4</v>
      </c>
    </row>
    <row r="443" spans="1:8" x14ac:dyDescent="0.2">
      <c r="A443" s="47"/>
      <c r="B443" s="492"/>
      <c r="C443" s="493" t="s">
        <v>1191</v>
      </c>
      <c r="D443" s="494" t="s">
        <v>47</v>
      </c>
      <c r="E443" s="495" t="s">
        <v>37</v>
      </c>
      <c r="F443" s="495">
        <v>6.4199999999999993E-2</v>
      </c>
      <c r="G443" s="495">
        <f>TRUNC(28,2)</f>
        <v>28</v>
      </c>
      <c r="H443" s="219">
        <f t="shared" si="15"/>
        <v>1.79</v>
      </c>
    </row>
    <row r="444" spans="1:8" ht="48" x14ac:dyDescent="0.2">
      <c r="A444" s="47"/>
      <c r="B444" s="492"/>
      <c r="C444" s="493" t="s">
        <v>1285</v>
      </c>
      <c r="D444" s="494" t="s">
        <v>1286</v>
      </c>
      <c r="E444" s="495" t="s">
        <v>19</v>
      </c>
      <c r="F444" s="495">
        <v>1.9199999999999998E-2</v>
      </c>
      <c r="G444" s="495">
        <f>TRUNC(142.86,2)</f>
        <v>142.86000000000001</v>
      </c>
      <c r="H444" s="219">
        <f t="shared" si="15"/>
        <v>2.74</v>
      </c>
    </row>
    <row r="445" spans="1:8" ht="72" x14ac:dyDescent="0.2">
      <c r="A445" s="47"/>
      <c r="B445" s="492"/>
      <c r="C445" s="493" t="s">
        <v>1287</v>
      </c>
      <c r="D445" s="494" t="s">
        <v>1288</v>
      </c>
      <c r="E445" s="495" t="s">
        <v>40</v>
      </c>
      <c r="F445" s="495">
        <v>5.21E-2</v>
      </c>
      <c r="G445" s="495">
        <f>TRUNC(46.05,2)</f>
        <v>46.05</v>
      </c>
      <c r="H445" s="219">
        <f t="shared" si="15"/>
        <v>2.39</v>
      </c>
    </row>
    <row r="446" spans="1:8" ht="72" x14ac:dyDescent="0.2">
      <c r="A446" s="47"/>
      <c r="B446" s="492"/>
      <c r="C446" s="493" t="s">
        <v>1289</v>
      </c>
      <c r="D446" s="494" t="s">
        <v>1290</v>
      </c>
      <c r="E446" s="495" t="s">
        <v>41</v>
      </c>
      <c r="F446" s="495">
        <v>1.55E-2</v>
      </c>
      <c r="G446" s="495">
        <f>TRUNC(106.94,2)</f>
        <v>106.94</v>
      </c>
      <c r="H446" s="219">
        <f t="shared" si="15"/>
        <v>1.65</v>
      </c>
    </row>
    <row r="447" spans="1:8" x14ac:dyDescent="0.2">
      <c r="A447" s="47"/>
      <c r="B447" s="492"/>
      <c r="C447" s="523"/>
      <c r="D447" s="545"/>
      <c r="E447" s="546"/>
      <c r="F447" s="546" t="s">
        <v>38</v>
      </c>
      <c r="G447" s="546"/>
      <c r="H447" s="77">
        <f>TRUNC(SUM(H441:H446),2)</f>
        <v>67.98</v>
      </c>
    </row>
    <row r="448" spans="1:8" ht="16.5" thickBot="1" x14ac:dyDescent="0.25">
      <c r="A448" s="47"/>
      <c r="B448" s="492"/>
      <c r="C448" s="523"/>
      <c r="D448" s="545"/>
      <c r="E448" s="546"/>
      <c r="F448" s="546"/>
      <c r="G448" s="546"/>
      <c r="H448" s="77"/>
    </row>
    <row r="449" spans="1:8" ht="84" x14ac:dyDescent="0.2">
      <c r="A449" s="47"/>
      <c r="B449" s="544"/>
      <c r="C449" s="493" t="s">
        <v>286</v>
      </c>
      <c r="D449" s="494" t="s">
        <v>1590</v>
      </c>
      <c r="E449" s="547" t="s">
        <v>22</v>
      </c>
      <c r="F449" s="547">
        <v>1</v>
      </c>
      <c r="G449" s="547">
        <f>TRUNC(H460,2)</f>
        <v>519.29</v>
      </c>
      <c r="H449" s="378">
        <f t="shared" ref="H449:H459" si="16">TRUNC(F449*G449,2)</f>
        <v>519.29</v>
      </c>
    </row>
    <row r="450" spans="1:8" x14ac:dyDescent="0.2">
      <c r="A450" s="47"/>
      <c r="B450" s="544"/>
      <c r="C450" s="528" t="s">
        <v>1291</v>
      </c>
      <c r="D450" s="494" t="s">
        <v>241</v>
      </c>
      <c r="E450" s="495" t="s">
        <v>22</v>
      </c>
      <c r="F450" s="495">
        <v>166.0916</v>
      </c>
      <c r="G450" s="495">
        <f>TRUNC(0.25,2)</f>
        <v>0.25</v>
      </c>
      <c r="H450" s="379">
        <f t="shared" si="16"/>
        <v>41.52</v>
      </c>
    </row>
    <row r="451" spans="1:8" x14ac:dyDescent="0.2">
      <c r="A451" s="47"/>
      <c r="B451" s="544"/>
      <c r="C451" s="528" t="s">
        <v>1184</v>
      </c>
      <c r="D451" s="494" t="s">
        <v>39</v>
      </c>
      <c r="E451" s="495" t="s">
        <v>37</v>
      </c>
      <c r="F451" s="495">
        <v>6.0895000000000001</v>
      </c>
      <c r="G451" s="495">
        <f>TRUNC(21.86,2)</f>
        <v>21.86</v>
      </c>
      <c r="H451" s="379">
        <f t="shared" si="16"/>
        <v>133.11000000000001</v>
      </c>
    </row>
    <row r="452" spans="1:8" x14ac:dyDescent="0.2">
      <c r="A452" s="47"/>
      <c r="B452" s="544"/>
      <c r="C452" s="528" t="s">
        <v>1191</v>
      </c>
      <c r="D452" s="494" t="s">
        <v>47</v>
      </c>
      <c r="E452" s="495" t="s">
        <v>37</v>
      </c>
      <c r="F452" s="495">
        <v>6.0895000000000001</v>
      </c>
      <c r="G452" s="495">
        <f>TRUNC(28,2)</f>
        <v>28</v>
      </c>
      <c r="H452" s="379">
        <f t="shared" si="16"/>
        <v>170.5</v>
      </c>
    </row>
    <row r="453" spans="1:8" ht="48" x14ac:dyDescent="0.2">
      <c r="A453" s="47"/>
      <c r="B453" s="544"/>
      <c r="C453" s="528" t="s">
        <v>1292</v>
      </c>
      <c r="D453" s="494" t="s">
        <v>1293</v>
      </c>
      <c r="E453" s="495" t="s">
        <v>19</v>
      </c>
      <c r="F453" s="495">
        <v>0.11559999999999999</v>
      </c>
      <c r="G453" s="495">
        <f>TRUNC(431.74,2)</f>
        <v>431.74</v>
      </c>
      <c r="H453" s="379">
        <f t="shared" si="16"/>
        <v>49.9</v>
      </c>
    </row>
    <row r="454" spans="1:8" ht="36" x14ac:dyDescent="0.2">
      <c r="A454" s="47"/>
      <c r="B454" s="544"/>
      <c r="C454" s="528" t="s">
        <v>1294</v>
      </c>
      <c r="D454" s="494" t="s">
        <v>1295</v>
      </c>
      <c r="E454" s="495" t="s">
        <v>19</v>
      </c>
      <c r="F454" s="495">
        <v>4.48E-2</v>
      </c>
      <c r="G454" s="495">
        <f>TRUNC(2136.06,2)</f>
        <v>2136.06</v>
      </c>
      <c r="H454" s="379">
        <f t="shared" si="16"/>
        <v>95.69</v>
      </c>
    </row>
    <row r="455" spans="1:8" ht="36" x14ac:dyDescent="0.2">
      <c r="A455" s="47"/>
      <c r="B455" s="544"/>
      <c r="C455" s="528" t="s">
        <v>1215</v>
      </c>
      <c r="D455" s="494" t="s">
        <v>1216</v>
      </c>
      <c r="E455" s="495" t="s">
        <v>19</v>
      </c>
      <c r="F455" s="495">
        <v>7.4399999999999994E-2</v>
      </c>
      <c r="G455" s="495">
        <f>TRUNC(276.92,2)</f>
        <v>276.92</v>
      </c>
      <c r="H455" s="379">
        <f t="shared" si="16"/>
        <v>20.6</v>
      </c>
    </row>
    <row r="456" spans="1:8" ht="36" x14ac:dyDescent="0.2">
      <c r="A456" s="47"/>
      <c r="B456" s="544"/>
      <c r="C456" s="528" t="s">
        <v>1296</v>
      </c>
      <c r="D456" s="494" t="s">
        <v>1297</v>
      </c>
      <c r="E456" s="495" t="s">
        <v>16</v>
      </c>
      <c r="F456" s="495">
        <v>0.81</v>
      </c>
      <c r="G456" s="495">
        <f>TRUNC(6.5,2)</f>
        <v>6.5</v>
      </c>
      <c r="H456" s="379">
        <f t="shared" si="16"/>
        <v>5.26</v>
      </c>
    </row>
    <row r="457" spans="1:8" ht="48" x14ac:dyDescent="0.2">
      <c r="A457" s="47"/>
      <c r="B457" s="544"/>
      <c r="C457" s="528" t="s">
        <v>1298</v>
      </c>
      <c r="D457" s="494" t="s">
        <v>1299</v>
      </c>
      <c r="E457" s="495" t="s">
        <v>19</v>
      </c>
      <c r="F457" s="495">
        <v>1.4E-3</v>
      </c>
      <c r="G457" s="495">
        <f>TRUNC(312.7,2)</f>
        <v>312.7</v>
      </c>
      <c r="H457" s="379">
        <f t="shared" si="16"/>
        <v>0.43</v>
      </c>
    </row>
    <row r="458" spans="1:8" ht="72" x14ac:dyDescent="0.2">
      <c r="A458" s="47"/>
      <c r="B458" s="544"/>
      <c r="C458" s="528" t="s">
        <v>1287</v>
      </c>
      <c r="D458" s="494" t="s">
        <v>1288</v>
      </c>
      <c r="E458" s="495" t="s">
        <v>40</v>
      </c>
      <c r="F458" s="495">
        <v>2.9399999999999999E-2</v>
      </c>
      <c r="G458" s="495">
        <f>TRUNC(46.05,2)</f>
        <v>46.05</v>
      </c>
      <c r="H458" s="379">
        <f t="shared" si="16"/>
        <v>1.35</v>
      </c>
    </row>
    <row r="459" spans="1:8" ht="72" x14ac:dyDescent="0.2">
      <c r="A459" s="47"/>
      <c r="B459" s="544"/>
      <c r="C459" s="528" t="s">
        <v>1289</v>
      </c>
      <c r="D459" s="494" t="s">
        <v>1290</v>
      </c>
      <c r="E459" s="495" t="s">
        <v>41</v>
      </c>
      <c r="F459" s="495">
        <v>8.6999999999999994E-3</v>
      </c>
      <c r="G459" s="495">
        <f>TRUNC(106.94,2)</f>
        <v>106.94</v>
      </c>
      <c r="H459" s="379">
        <f t="shared" si="16"/>
        <v>0.93</v>
      </c>
    </row>
    <row r="460" spans="1:8" x14ac:dyDescent="0.2">
      <c r="A460" s="47"/>
      <c r="B460" s="544"/>
      <c r="C460" s="528"/>
      <c r="D460" s="494"/>
      <c r="E460" s="495"/>
      <c r="F460" s="495" t="s">
        <v>38</v>
      </c>
      <c r="G460" s="495"/>
      <c r="H460" s="379">
        <f>TRUNC(SUM(H450:H459),2)</f>
        <v>519.29</v>
      </c>
    </row>
    <row r="461" spans="1:8" ht="12" customHeight="1" x14ac:dyDescent="0.2">
      <c r="A461" s="47"/>
      <c r="B461" s="544"/>
      <c r="C461" s="528" t="s">
        <v>1300</v>
      </c>
      <c r="D461" s="494" t="s">
        <v>242</v>
      </c>
      <c r="E461" s="495" t="s">
        <v>22</v>
      </c>
      <c r="F461" s="495">
        <v>1</v>
      </c>
      <c r="G461" s="495">
        <f>TRUNC(H466,2)</f>
        <v>399.77</v>
      </c>
      <c r="H461" s="379">
        <f>TRUNC(F461*G461,2)</f>
        <v>399.77</v>
      </c>
    </row>
    <row r="462" spans="1:8" ht="12" customHeight="1" x14ac:dyDescent="0.2">
      <c r="A462" s="47"/>
      <c r="B462" s="544"/>
      <c r="C462" s="528" t="s">
        <v>1301</v>
      </c>
      <c r="D462" s="494" t="s">
        <v>243</v>
      </c>
      <c r="E462" s="495" t="s">
        <v>22</v>
      </c>
      <c r="F462" s="495">
        <v>1</v>
      </c>
      <c r="G462" s="495">
        <f>TRUNC(321.97,2)</f>
        <v>321.97000000000003</v>
      </c>
      <c r="H462" s="379">
        <f>TRUNC(F462*G462,2)</f>
        <v>321.97000000000003</v>
      </c>
    </row>
    <row r="463" spans="1:8" ht="12" customHeight="1" x14ac:dyDescent="0.2">
      <c r="A463" s="47"/>
      <c r="B463" s="544"/>
      <c r="C463" s="528" t="s">
        <v>1184</v>
      </c>
      <c r="D463" s="494" t="s">
        <v>39</v>
      </c>
      <c r="E463" s="495" t="s">
        <v>37</v>
      </c>
      <c r="F463" s="495">
        <v>1.4045000000000001</v>
      </c>
      <c r="G463" s="495">
        <f>TRUNC(21.86,2)</f>
        <v>21.86</v>
      </c>
      <c r="H463" s="379">
        <f>TRUNC(F463*G463,2)</f>
        <v>30.7</v>
      </c>
    </row>
    <row r="464" spans="1:8" ht="12" customHeight="1" x14ac:dyDescent="0.2">
      <c r="A464" s="47"/>
      <c r="B464" s="544"/>
      <c r="C464" s="528" t="s">
        <v>1191</v>
      </c>
      <c r="D464" s="494" t="s">
        <v>47</v>
      </c>
      <c r="E464" s="495" t="s">
        <v>37</v>
      </c>
      <c r="F464" s="495">
        <v>1.4045000000000001</v>
      </c>
      <c r="G464" s="495">
        <f>TRUNC(28,2)</f>
        <v>28</v>
      </c>
      <c r="H464" s="379">
        <f>TRUNC(F464*G464,2)</f>
        <v>39.32</v>
      </c>
    </row>
    <row r="465" spans="1:8" ht="12" customHeight="1" x14ac:dyDescent="0.2">
      <c r="A465" s="47"/>
      <c r="B465" s="544"/>
      <c r="C465" s="528" t="s">
        <v>1215</v>
      </c>
      <c r="D465" s="494" t="s">
        <v>1216</v>
      </c>
      <c r="E465" s="495" t="s">
        <v>19</v>
      </c>
      <c r="F465" s="495">
        <v>2.81E-2</v>
      </c>
      <c r="G465" s="495">
        <f>TRUNC(276.92,2)</f>
        <v>276.92</v>
      </c>
      <c r="H465" s="379">
        <f>TRUNC(F465*G465,2)</f>
        <v>7.78</v>
      </c>
    </row>
    <row r="466" spans="1:8" ht="12" customHeight="1" x14ac:dyDescent="0.2">
      <c r="A466" s="47"/>
      <c r="B466" s="544"/>
      <c r="C466" s="528"/>
      <c r="D466" s="494"/>
      <c r="E466" s="495"/>
      <c r="F466" s="495" t="s">
        <v>38</v>
      </c>
      <c r="G466" s="495"/>
      <c r="H466" s="379">
        <f>TRUNC(SUM(H462:H465),2)</f>
        <v>399.77</v>
      </c>
    </row>
    <row r="467" spans="1:8" ht="12" customHeight="1" x14ac:dyDescent="0.2">
      <c r="A467" s="47"/>
      <c r="B467" s="544"/>
      <c r="C467" s="528"/>
      <c r="D467" s="494"/>
      <c r="E467" s="495"/>
      <c r="F467" s="495"/>
      <c r="G467" s="495"/>
      <c r="H467" s="379"/>
    </row>
    <row r="468" spans="1:8" ht="12" customHeight="1" x14ac:dyDescent="0.2">
      <c r="A468" s="47"/>
      <c r="B468" s="544" t="s">
        <v>1073</v>
      </c>
      <c r="C468" s="528"/>
      <c r="D468" s="569" t="s">
        <v>285</v>
      </c>
      <c r="E468" s="570"/>
      <c r="F468" s="570"/>
      <c r="G468" s="570"/>
      <c r="H468" s="387">
        <f>G449+G461</f>
        <v>919.06</v>
      </c>
    </row>
    <row r="469" spans="1:8" ht="12" customHeight="1" thickBot="1" x14ac:dyDescent="0.25">
      <c r="A469" s="47"/>
      <c r="B469" s="544"/>
      <c r="C469" s="530"/>
      <c r="D469" s="548"/>
      <c r="E469" s="549"/>
      <c r="F469" s="549"/>
      <c r="G469" s="549"/>
      <c r="H469" s="381"/>
    </row>
    <row r="470" spans="1:8" x14ac:dyDescent="0.2">
      <c r="A470" s="47"/>
      <c r="B470" s="571"/>
      <c r="C470" s="523"/>
      <c r="D470" s="545"/>
      <c r="E470" s="546"/>
      <c r="F470" s="546"/>
      <c r="G470" s="546"/>
      <c r="H470" s="77"/>
    </row>
    <row r="471" spans="1:8" ht="60" x14ac:dyDescent="0.2">
      <c r="B471" s="456" t="s">
        <v>1074</v>
      </c>
      <c r="C471" s="219" t="s">
        <v>298</v>
      </c>
      <c r="D471" s="294" t="s">
        <v>959</v>
      </c>
      <c r="E471" s="344" t="s">
        <v>22</v>
      </c>
      <c r="F471" s="388">
        <v>1</v>
      </c>
      <c r="G471" s="388">
        <f>TRUNC(H481,2)</f>
        <v>79.27</v>
      </c>
      <c r="H471" s="388">
        <f t="shared" ref="H471:H480" si="17">TRUNC(F471*G471,2)</f>
        <v>79.27</v>
      </c>
    </row>
    <row r="472" spans="1:8" x14ac:dyDescent="0.2">
      <c r="B472" s="456"/>
      <c r="C472" s="219" t="s">
        <v>1274</v>
      </c>
      <c r="D472" s="294" t="s">
        <v>216</v>
      </c>
      <c r="E472" s="344" t="s">
        <v>22</v>
      </c>
      <c r="F472" s="388">
        <v>5.7000000000000002E-2</v>
      </c>
      <c r="G472" s="388">
        <f>TRUNC(1.56,2)</f>
        <v>1.56</v>
      </c>
      <c r="H472" s="388">
        <f t="shared" si="17"/>
        <v>0.08</v>
      </c>
    </row>
    <row r="473" spans="1:8" ht="24" x14ac:dyDescent="0.2">
      <c r="B473" s="456"/>
      <c r="C473" s="219" t="s">
        <v>1275</v>
      </c>
      <c r="D473" s="294" t="s">
        <v>219</v>
      </c>
      <c r="E473" s="344" t="s">
        <v>22</v>
      </c>
      <c r="F473" s="388">
        <v>2.2499999999999999E-2</v>
      </c>
      <c r="G473" s="388">
        <f>TRUNC(46.52,2)</f>
        <v>46.52</v>
      </c>
      <c r="H473" s="388">
        <f t="shared" si="17"/>
        <v>1.04</v>
      </c>
    </row>
    <row r="474" spans="1:8" ht="36" x14ac:dyDescent="0.2">
      <c r="B474" s="456"/>
      <c r="C474" s="219" t="s">
        <v>1276</v>
      </c>
      <c r="D474" s="294" t="s">
        <v>220</v>
      </c>
      <c r="E474" s="344" t="s">
        <v>22</v>
      </c>
      <c r="F474" s="388">
        <v>0.03</v>
      </c>
      <c r="G474" s="388">
        <f>TRUNC(19.61,2)</f>
        <v>19.61</v>
      </c>
      <c r="H474" s="388">
        <f t="shared" si="17"/>
        <v>0.57999999999999996</v>
      </c>
    </row>
    <row r="475" spans="1:8" ht="24" x14ac:dyDescent="0.2">
      <c r="B475" s="456"/>
      <c r="C475" s="219" t="s">
        <v>1279</v>
      </c>
      <c r="D475" s="294" t="s">
        <v>215</v>
      </c>
      <c r="E475" s="344" t="s">
        <v>22</v>
      </c>
      <c r="F475" s="388">
        <v>0</v>
      </c>
      <c r="G475" s="388">
        <f>TRUNC(44.07,2)</f>
        <v>44.07</v>
      </c>
      <c r="H475" s="388">
        <f t="shared" si="17"/>
        <v>0</v>
      </c>
    </row>
    <row r="476" spans="1:8" ht="24" x14ac:dyDescent="0.2">
      <c r="B476" s="456"/>
      <c r="C476" s="75" t="s">
        <v>51</v>
      </c>
      <c r="D476" s="389" t="s">
        <v>890</v>
      </c>
      <c r="E476" s="344" t="s">
        <v>22</v>
      </c>
      <c r="F476" s="388">
        <v>1</v>
      </c>
      <c r="G476" s="388">
        <v>56.47</v>
      </c>
      <c r="H476" s="388">
        <f t="shared" si="17"/>
        <v>56.47</v>
      </c>
    </row>
    <row r="477" spans="1:8" ht="24" x14ac:dyDescent="0.2">
      <c r="B477" s="456"/>
      <c r="C477" s="219" t="s">
        <v>1280</v>
      </c>
      <c r="D477" s="294" t="s">
        <v>228</v>
      </c>
      <c r="E477" s="344" t="s">
        <v>22</v>
      </c>
      <c r="F477" s="388">
        <v>1</v>
      </c>
      <c r="G477" s="388">
        <f>TRUNC(1.91,2)</f>
        <v>1.91</v>
      </c>
      <c r="H477" s="388">
        <f t="shared" si="17"/>
        <v>1.91</v>
      </c>
    </row>
    <row r="478" spans="1:8" x14ac:dyDescent="0.2">
      <c r="B478" s="456"/>
      <c r="C478" s="219" t="s">
        <v>1277</v>
      </c>
      <c r="D478" s="294" t="s">
        <v>223</v>
      </c>
      <c r="E478" s="344" t="s">
        <v>22</v>
      </c>
      <c r="F478" s="388">
        <v>1.4800000000000001E-2</v>
      </c>
      <c r="G478" s="388">
        <f>TRUNC(53.56,2)</f>
        <v>53.56</v>
      </c>
      <c r="H478" s="388">
        <f t="shared" si="17"/>
        <v>0.79</v>
      </c>
    </row>
    <row r="479" spans="1:8" ht="24" x14ac:dyDescent="0.2">
      <c r="B479" s="456"/>
      <c r="C479" s="219" t="s">
        <v>1199</v>
      </c>
      <c r="D479" s="294" t="s">
        <v>224</v>
      </c>
      <c r="E479" s="344" t="s">
        <v>37</v>
      </c>
      <c r="F479" s="388">
        <v>0.38</v>
      </c>
      <c r="G479" s="388">
        <f>TRUNC(27.24,2)</f>
        <v>27.24</v>
      </c>
      <c r="H479" s="388">
        <f t="shared" si="17"/>
        <v>10.35</v>
      </c>
    </row>
    <row r="480" spans="1:8" ht="24" x14ac:dyDescent="0.2">
      <c r="B480" s="456"/>
      <c r="C480" s="219" t="s">
        <v>1278</v>
      </c>
      <c r="D480" s="294" t="s">
        <v>225</v>
      </c>
      <c r="E480" s="344" t="s">
        <v>37</v>
      </c>
      <c r="F480" s="388">
        <v>0.38</v>
      </c>
      <c r="G480" s="388">
        <f>TRUNC(21.21,2)</f>
        <v>21.21</v>
      </c>
      <c r="H480" s="388">
        <f t="shared" si="17"/>
        <v>8.0500000000000007</v>
      </c>
    </row>
    <row r="481" spans="1:8" x14ac:dyDescent="0.2">
      <c r="B481" s="456"/>
      <c r="C481" s="219"/>
      <c r="D481" s="294"/>
      <c r="E481" s="344"/>
      <c r="F481" s="388" t="s">
        <v>38</v>
      </c>
      <c r="G481" s="388"/>
      <c r="H481" s="388">
        <f>TRUNC(SUM(H472:H480),2)</f>
        <v>79.27</v>
      </c>
    </row>
    <row r="482" spans="1:8" x14ac:dyDescent="0.2">
      <c r="A482" s="47"/>
      <c r="B482" s="492" t="s">
        <v>101</v>
      </c>
      <c r="C482" s="563"/>
      <c r="D482" s="564" t="s">
        <v>287</v>
      </c>
      <c r="E482" s="565"/>
      <c r="F482" s="565"/>
      <c r="G482" s="565"/>
      <c r="H482" s="219"/>
    </row>
    <row r="483" spans="1:8" ht="60" x14ac:dyDescent="0.2">
      <c r="A483" s="47"/>
      <c r="B483" s="492" t="s">
        <v>1075</v>
      </c>
      <c r="C483" s="493" t="s">
        <v>599</v>
      </c>
      <c r="D483" s="494" t="s">
        <v>1591</v>
      </c>
      <c r="E483" s="495" t="s">
        <v>18</v>
      </c>
      <c r="F483" s="495">
        <v>1</v>
      </c>
      <c r="G483" s="495">
        <f>TRUNC(H488,2)</f>
        <v>17.2</v>
      </c>
      <c r="H483" s="219">
        <f>TRUNC(F483*G483,2)</f>
        <v>17.2</v>
      </c>
    </row>
    <row r="484" spans="1:8" ht="24" x14ac:dyDescent="0.2">
      <c r="A484" s="47"/>
      <c r="B484" s="492"/>
      <c r="C484" s="493" t="s">
        <v>244</v>
      </c>
      <c r="D484" s="494" t="s">
        <v>245</v>
      </c>
      <c r="E484" s="495" t="s">
        <v>22</v>
      </c>
      <c r="F484" s="495">
        <v>0.1925</v>
      </c>
      <c r="G484" s="495">
        <f>TRUNC(43.9136,2)</f>
        <v>43.91</v>
      </c>
      <c r="H484" s="219">
        <f>TRUNC(F484*G484,2)</f>
        <v>8.4499999999999993</v>
      </c>
    </row>
    <row r="485" spans="1:8" ht="24" x14ac:dyDescent="0.2">
      <c r="A485" s="47"/>
      <c r="B485" s="492"/>
      <c r="C485" s="493" t="s">
        <v>45</v>
      </c>
      <c r="D485" s="494" t="s">
        <v>46</v>
      </c>
      <c r="E485" s="495" t="s">
        <v>22</v>
      </c>
      <c r="F485" s="495">
        <v>0.19800000000000001</v>
      </c>
      <c r="G485" s="495">
        <f>TRUNC(3.17,2)</f>
        <v>3.17</v>
      </c>
      <c r="H485" s="219">
        <f>TRUNC(F485*G485,2)</f>
        <v>0.62</v>
      </c>
    </row>
    <row r="486" spans="1:8" ht="24" x14ac:dyDescent="0.2">
      <c r="A486" s="47"/>
      <c r="B486" s="492"/>
      <c r="C486" s="493" t="s">
        <v>35</v>
      </c>
      <c r="D486" s="494" t="s">
        <v>36</v>
      </c>
      <c r="E486" s="495" t="s">
        <v>37</v>
      </c>
      <c r="F486" s="495">
        <v>0.2266</v>
      </c>
      <c r="G486" s="495">
        <f>TRUNC(15.09,2)</f>
        <v>15.09</v>
      </c>
      <c r="H486" s="219">
        <f>TRUNC(F486*G486,2)</f>
        <v>3.41</v>
      </c>
    </row>
    <row r="487" spans="1:8" ht="24" x14ac:dyDescent="0.2">
      <c r="A487" s="47"/>
      <c r="B487" s="492"/>
      <c r="C487" s="493" t="s">
        <v>209</v>
      </c>
      <c r="D487" s="494" t="s">
        <v>210</v>
      </c>
      <c r="E487" s="495" t="s">
        <v>37</v>
      </c>
      <c r="F487" s="495">
        <v>0.2266</v>
      </c>
      <c r="G487" s="495">
        <f>TRUNC(20.83,2)</f>
        <v>20.83</v>
      </c>
      <c r="H487" s="219">
        <f>TRUNC(F487*G487,2)</f>
        <v>4.72</v>
      </c>
    </row>
    <row r="488" spans="1:8" x14ac:dyDescent="0.2">
      <c r="A488" s="47"/>
      <c r="B488" s="492"/>
      <c r="C488" s="493"/>
      <c r="D488" s="494"/>
      <c r="E488" s="495"/>
      <c r="F488" s="495" t="s">
        <v>38</v>
      </c>
      <c r="G488" s="495"/>
      <c r="H488" s="219">
        <f>TRUNC(SUM(H484:H487),2)</f>
        <v>17.2</v>
      </c>
    </row>
    <row r="489" spans="1:8" ht="60" x14ac:dyDescent="0.2">
      <c r="A489" s="47"/>
      <c r="B489" s="492" t="s">
        <v>1076</v>
      </c>
      <c r="C489" s="493" t="s">
        <v>600</v>
      </c>
      <c r="D489" s="494" t="s">
        <v>1592</v>
      </c>
      <c r="E489" s="495" t="s">
        <v>18</v>
      </c>
      <c r="F489" s="495">
        <v>1</v>
      </c>
      <c r="G489" s="495">
        <f>TRUNC(H494,2)</f>
        <v>11.77</v>
      </c>
      <c r="H489" s="219">
        <f>TRUNC(F489*G489,2)</f>
        <v>11.77</v>
      </c>
    </row>
    <row r="490" spans="1:8" ht="24" x14ac:dyDescent="0.2">
      <c r="A490" s="47"/>
      <c r="B490" s="492"/>
      <c r="C490" s="493" t="s">
        <v>246</v>
      </c>
      <c r="D490" s="494" t="s">
        <v>247</v>
      </c>
      <c r="E490" s="495" t="s">
        <v>22</v>
      </c>
      <c r="F490" s="495">
        <v>0.1925</v>
      </c>
      <c r="G490" s="495">
        <f>TRUNC(28.1476,2)</f>
        <v>28.14</v>
      </c>
      <c r="H490" s="219">
        <f>TRUNC(F490*G490,2)</f>
        <v>5.41</v>
      </c>
    </row>
    <row r="491" spans="1:8" ht="24" x14ac:dyDescent="0.2">
      <c r="A491" s="47"/>
      <c r="B491" s="492"/>
      <c r="C491" s="493" t="s">
        <v>45</v>
      </c>
      <c r="D491" s="494" t="s">
        <v>46</v>
      </c>
      <c r="E491" s="495" t="s">
        <v>22</v>
      </c>
      <c r="F491" s="495">
        <v>0.14300000000000002</v>
      </c>
      <c r="G491" s="495">
        <f>TRUNC(3.17,2)</f>
        <v>3.17</v>
      </c>
      <c r="H491" s="219">
        <f>TRUNC(F491*G491,2)</f>
        <v>0.45</v>
      </c>
    </row>
    <row r="492" spans="1:8" ht="24" x14ac:dyDescent="0.2">
      <c r="A492" s="47"/>
      <c r="B492" s="492"/>
      <c r="C492" s="493" t="s">
        <v>35</v>
      </c>
      <c r="D492" s="494" t="s">
        <v>36</v>
      </c>
      <c r="E492" s="495" t="s">
        <v>37</v>
      </c>
      <c r="F492" s="495">
        <v>0.1648</v>
      </c>
      <c r="G492" s="495">
        <f>TRUNC(15.09,2)</f>
        <v>15.09</v>
      </c>
      <c r="H492" s="219">
        <f>TRUNC(F492*G492,2)</f>
        <v>2.48</v>
      </c>
    </row>
    <row r="493" spans="1:8" ht="24" x14ac:dyDescent="0.2">
      <c r="A493" s="47"/>
      <c r="B493" s="492"/>
      <c r="C493" s="493" t="s">
        <v>209</v>
      </c>
      <c r="D493" s="494" t="s">
        <v>210</v>
      </c>
      <c r="E493" s="495" t="s">
        <v>37</v>
      </c>
      <c r="F493" s="495">
        <v>0.1648</v>
      </c>
      <c r="G493" s="495">
        <f>TRUNC(20.83,2)</f>
        <v>20.83</v>
      </c>
      <c r="H493" s="219">
        <f>TRUNC(F493*G493,2)</f>
        <v>3.43</v>
      </c>
    </row>
    <row r="494" spans="1:8" x14ac:dyDescent="0.2">
      <c r="A494" s="47"/>
      <c r="B494" s="492"/>
      <c r="C494" s="493"/>
      <c r="D494" s="494"/>
      <c r="E494" s="495"/>
      <c r="F494" s="495" t="s">
        <v>38</v>
      </c>
      <c r="G494" s="495"/>
      <c r="H494" s="219">
        <f>TRUNC(SUM(H490:H493),2)</f>
        <v>11.77</v>
      </c>
    </row>
    <row r="495" spans="1:8" ht="60" x14ac:dyDescent="0.2">
      <c r="A495" s="47"/>
      <c r="B495" s="492" t="s">
        <v>1077</v>
      </c>
      <c r="C495" s="493" t="s">
        <v>601</v>
      </c>
      <c r="D495" s="494" t="s">
        <v>1593</v>
      </c>
      <c r="E495" s="495" t="s">
        <v>18</v>
      </c>
      <c r="F495" s="495">
        <v>1</v>
      </c>
      <c r="G495" s="495">
        <f>TRUNC(H500,2)</f>
        <v>8.1</v>
      </c>
      <c r="H495" s="219">
        <f>TRUNC(F495*G495,2)</f>
        <v>8.1</v>
      </c>
    </row>
    <row r="496" spans="1:8" ht="36" x14ac:dyDescent="0.2">
      <c r="A496" s="47"/>
      <c r="B496" s="492"/>
      <c r="C496" s="493" t="s">
        <v>248</v>
      </c>
      <c r="D496" s="494" t="s">
        <v>249</v>
      </c>
      <c r="E496" s="495" t="s">
        <v>22</v>
      </c>
      <c r="F496" s="495">
        <v>0.1925</v>
      </c>
      <c r="G496" s="495">
        <f>TRUNC(11.1022,2)</f>
        <v>11.1</v>
      </c>
      <c r="H496" s="219">
        <f>TRUNC(F496*G496,2)</f>
        <v>2.13</v>
      </c>
    </row>
    <row r="497" spans="1:8" ht="24" x14ac:dyDescent="0.2">
      <c r="A497" s="47"/>
      <c r="B497" s="492"/>
      <c r="C497" s="493" t="s">
        <v>45</v>
      </c>
      <c r="D497" s="494" t="s">
        <v>46</v>
      </c>
      <c r="E497" s="495" t="s">
        <v>22</v>
      </c>
      <c r="F497" s="495">
        <v>0.13750000000000001</v>
      </c>
      <c r="G497" s="495">
        <f>TRUNC(3.17,2)</f>
        <v>3.17</v>
      </c>
      <c r="H497" s="219">
        <f>TRUNC(F497*G497,2)</f>
        <v>0.43</v>
      </c>
    </row>
    <row r="498" spans="1:8" ht="24" x14ac:dyDescent="0.2">
      <c r="A498" s="47"/>
      <c r="B498" s="492"/>
      <c r="C498" s="493" t="s">
        <v>35</v>
      </c>
      <c r="D498" s="494" t="s">
        <v>36</v>
      </c>
      <c r="E498" s="495" t="s">
        <v>37</v>
      </c>
      <c r="F498" s="495">
        <v>0.1545</v>
      </c>
      <c r="G498" s="495">
        <f>TRUNC(15.09,2)</f>
        <v>15.09</v>
      </c>
      <c r="H498" s="219">
        <f>TRUNC(F498*G498,2)</f>
        <v>2.33</v>
      </c>
    </row>
    <row r="499" spans="1:8" ht="24" x14ac:dyDescent="0.2">
      <c r="A499" s="47"/>
      <c r="B499" s="492"/>
      <c r="C499" s="493" t="s">
        <v>209</v>
      </c>
      <c r="D499" s="494" t="s">
        <v>210</v>
      </c>
      <c r="E499" s="495" t="s">
        <v>37</v>
      </c>
      <c r="F499" s="495">
        <v>0.1545</v>
      </c>
      <c r="G499" s="495">
        <f>TRUNC(20.83,2)</f>
        <v>20.83</v>
      </c>
      <c r="H499" s="219">
        <f>TRUNC(F499*G499,2)</f>
        <v>3.21</v>
      </c>
    </row>
    <row r="500" spans="1:8" x14ac:dyDescent="0.2">
      <c r="A500" s="47"/>
      <c r="B500" s="492"/>
      <c r="C500" s="493"/>
      <c r="D500" s="494"/>
      <c r="E500" s="495"/>
      <c r="F500" s="495" t="s">
        <v>38</v>
      </c>
      <c r="G500" s="495"/>
      <c r="H500" s="219">
        <f>TRUNC(SUM(H496:H499),2)</f>
        <v>8.1</v>
      </c>
    </row>
    <row r="501" spans="1:8" ht="60" x14ac:dyDescent="0.2">
      <c r="A501" s="47"/>
      <c r="B501" s="492" t="s">
        <v>1078</v>
      </c>
      <c r="C501" s="493" t="s">
        <v>602</v>
      </c>
      <c r="D501" s="494" t="s">
        <v>1594</v>
      </c>
      <c r="E501" s="495" t="s">
        <v>18</v>
      </c>
      <c r="F501" s="495">
        <v>1</v>
      </c>
      <c r="G501" s="495">
        <f>TRUNC(H506,2)</f>
        <v>7.41</v>
      </c>
      <c r="H501" s="219">
        <f>TRUNC(F501*G501,2)</f>
        <v>7.41</v>
      </c>
    </row>
    <row r="502" spans="1:8" ht="36" x14ac:dyDescent="0.2">
      <c r="A502" s="47"/>
      <c r="B502" s="492"/>
      <c r="C502" s="493" t="s">
        <v>266</v>
      </c>
      <c r="D502" s="494" t="s">
        <v>267</v>
      </c>
      <c r="E502" s="495" t="s">
        <v>22</v>
      </c>
      <c r="F502" s="495">
        <v>0.1925</v>
      </c>
      <c r="G502" s="495">
        <f>TRUNC(9.5236,2)</f>
        <v>9.52</v>
      </c>
      <c r="H502" s="219">
        <f>TRUNC(F502*G502,2)</f>
        <v>1.83</v>
      </c>
    </row>
    <row r="503" spans="1:8" ht="24" x14ac:dyDescent="0.2">
      <c r="A503" s="47"/>
      <c r="B503" s="492"/>
      <c r="C503" s="493" t="s">
        <v>45</v>
      </c>
      <c r="D503" s="494" t="s">
        <v>46</v>
      </c>
      <c r="E503" s="495" t="s">
        <v>22</v>
      </c>
      <c r="F503" s="495">
        <v>0.13200000000000001</v>
      </c>
      <c r="G503" s="495">
        <f>TRUNC(3.17,2)</f>
        <v>3.17</v>
      </c>
      <c r="H503" s="219">
        <f>TRUNC(F503*G503,2)</f>
        <v>0.41</v>
      </c>
    </row>
    <row r="504" spans="1:8" ht="24" x14ac:dyDescent="0.2">
      <c r="A504" s="47"/>
      <c r="B504" s="492"/>
      <c r="C504" s="493" t="s">
        <v>35</v>
      </c>
      <c r="D504" s="494" t="s">
        <v>36</v>
      </c>
      <c r="E504" s="495" t="s">
        <v>37</v>
      </c>
      <c r="F504" s="495">
        <v>0.14420000000000002</v>
      </c>
      <c r="G504" s="495">
        <f>TRUNC(15.09,2)</f>
        <v>15.09</v>
      </c>
      <c r="H504" s="219">
        <f>TRUNC(F504*G504,2)</f>
        <v>2.17</v>
      </c>
    </row>
    <row r="505" spans="1:8" ht="24" x14ac:dyDescent="0.2">
      <c r="A505" s="47"/>
      <c r="B505" s="492"/>
      <c r="C505" s="493" t="s">
        <v>209</v>
      </c>
      <c r="D505" s="494" t="s">
        <v>210</v>
      </c>
      <c r="E505" s="495" t="s">
        <v>37</v>
      </c>
      <c r="F505" s="495">
        <v>0.14420000000000002</v>
      </c>
      <c r="G505" s="495">
        <f>TRUNC(20.83,2)</f>
        <v>20.83</v>
      </c>
      <c r="H505" s="219">
        <f>TRUNC(F505*G505,2)</f>
        <v>3</v>
      </c>
    </row>
    <row r="506" spans="1:8" x14ac:dyDescent="0.2">
      <c r="A506" s="47"/>
      <c r="B506" s="492"/>
      <c r="C506" s="493"/>
      <c r="D506" s="494"/>
      <c r="E506" s="495"/>
      <c r="F506" s="495" t="s">
        <v>38</v>
      </c>
      <c r="G506" s="495"/>
      <c r="H506" s="219">
        <f>TRUNC(SUM(H502:H505),2)</f>
        <v>7.41</v>
      </c>
    </row>
    <row r="507" spans="1:8" ht="36" x14ac:dyDescent="0.2">
      <c r="A507" s="47"/>
      <c r="B507" s="492" t="s">
        <v>1079</v>
      </c>
      <c r="C507" s="493" t="s">
        <v>303</v>
      </c>
      <c r="D507" s="494" t="s">
        <v>1595</v>
      </c>
      <c r="E507" s="495" t="s">
        <v>22</v>
      </c>
      <c r="F507" s="495">
        <v>1</v>
      </c>
      <c r="G507" s="495">
        <f>TRUNC(H515,2)</f>
        <v>14.75</v>
      </c>
      <c r="H507" s="219">
        <f t="shared" ref="H507:H514" si="18">TRUNC(F507*G507,2)</f>
        <v>14.75</v>
      </c>
    </row>
    <row r="508" spans="1:8" x14ac:dyDescent="0.2">
      <c r="A508" s="47"/>
      <c r="B508" s="492"/>
      <c r="C508" s="493" t="s">
        <v>1274</v>
      </c>
      <c r="D508" s="494" t="s">
        <v>216</v>
      </c>
      <c r="E508" s="495" t="s">
        <v>22</v>
      </c>
      <c r="F508" s="495">
        <v>0.06</v>
      </c>
      <c r="G508" s="495">
        <f>TRUNC(1.56,2)</f>
        <v>1.56</v>
      </c>
      <c r="H508" s="219">
        <f t="shared" si="18"/>
        <v>0.09</v>
      </c>
    </row>
    <row r="509" spans="1:8" ht="24" x14ac:dyDescent="0.2">
      <c r="A509" s="47"/>
      <c r="B509" s="492"/>
      <c r="C509" s="493" t="s">
        <v>1275</v>
      </c>
      <c r="D509" s="494" t="s">
        <v>219</v>
      </c>
      <c r="E509" s="495" t="s">
        <v>22</v>
      </c>
      <c r="F509" s="495">
        <v>1.0999999999999999E-2</v>
      </c>
      <c r="G509" s="495">
        <f>TRUNC(46.52,2)</f>
        <v>46.52</v>
      </c>
      <c r="H509" s="219">
        <f t="shared" si="18"/>
        <v>0.51</v>
      </c>
    </row>
    <row r="510" spans="1:8" ht="24" x14ac:dyDescent="0.2">
      <c r="A510" s="47"/>
      <c r="B510" s="492"/>
      <c r="C510" s="493" t="s">
        <v>1303</v>
      </c>
      <c r="D510" s="494" t="s">
        <v>251</v>
      </c>
      <c r="E510" s="495" t="s">
        <v>22</v>
      </c>
      <c r="F510" s="495">
        <v>0</v>
      </c>
      <c r="G510" s="495">
        <f>TRUNC(1.36,2)</f>
        <v>1.36</v>
      </c>
      <c r="H510" s="219">
        <f t="shared" si="18"/>
        <v>0</v>
      </c>
    </row>
    <row r="511" spans="1:8" ht="24" x14ac:dyDescent="0.2">
      <c r="A511" s="47"/>
      <c r="B511" s="492"/>
      <c r="C511" s="493" t="s">
        <v>1304</v>
      </c>
      <c r="D511" s="494" t="s">
        <v>250</v>
      </c>
      <c r="E511" s="495" t="s">
        <v>22</v>
      </c>
      <c r="F511" s="495">
        <v>1</v>
      </c>
      <c r="G511" s="495">
        <v>3.5</v>
      </c>
      <c r="H511" s="219">
        <f t="shared" si="18"/>
        <v>3.5</v>
      </c>
    </row>
    <row r="512" spans="1:8" x14ac:dyDescent="0.2">
      <c r="A512" s="47"/>
      <c r="B512" s="492"/>
      <c r="C512" s="493" t="s">
        <v>1277</v>
      </c>
      <c r="D512" s="494" t="s">
        <v>223</v>
      </c>
      <c r="E512" s="495" t="s">
        <v>22</v>
      </c>
      <c r="F512" s="495">
        <v>8.9999999999999993E-3</v>
      </c>
      <c r="G512" s="495">
        <f>TRUNC(53.56,2)</f>
        <v>53.56</v>
      </c>
      <c r="H512" s="219">
        <f t="shared" si="18"/>
        <v>0.48</v>
      </c>
    </row>
    <row r="513" spans="1:8" ht="24" x14ac:dyDescent="0.2">
      <c r="A513" s="47"/>
      <c r="B513" s="492"/>
      <c r="C513" s="493" t="s">
        <v>1199</v>
      </c>
      <c r="D513" s="494" t="s">
        <v>224</v>
      </c>
      <c r="E513" s="495" t="s">
        <v>37</v>
      </c>
      <c r="F513" s="495">
        <v>0.21</v>
      </c>
      <c r="G513" s="495">
        <f>TRUNC(27.24,2)</f>
        <v>27.24</v>
      </c>
      <c r="H513" s="219">
        <f t="shared" si="18"/>
        <v>5.72</v>
      </c>
    </row>
    <row r="514" spans="1:8" ht="24" x14ac:dyDescent="0.2">
      <c r="A514" s="47"/>
      <c r="B514" s="492"/>
      <c r="C514" s="493" t="s">
        <v>1278</v>
      </c>
      <c r="D514" s="494" t="s">
        <v>225</v>
      </c>
      <c r="E514" s="495" t="s">
        <v>37</v>
      </c>
      <c r="F514" s="495">
        <v>0.21</v>
      </c>
      <c r="G514" s="495">
        <f>TRUNC(21.21,2)</f>
        <v>21.21</v>
      </c>
      <c r="H514" s="219">
        <f t="shared" si="18"/>
        <v>4.45</v>
      </c>
    </row>
    <row r="515" spans="1:8" x14ac:dyDescent="0.2">
      <c r="A515" s="47"/>
      <c r="B515" s="492"/>
      <c r="C515" s="493"/>
      <c r="D515" s="494"/>
      <c r="E515" s="495"/>
      <c r="F515" s="495" t="s">
        <v>38</v>
      </c>
      <c r="G515" s="495"/>
      <c r="H515" s="219">
        <f>TRUNC(SUM(H508:H514),2)</f>
        <v>14.75</v>
      </c>
    </row>
    <row r="516" spans="1:8" ht="36" x14ac:dyDescent="0.2">
      <c r="A516" s="47"/>
      <c r="B516" s="492" t="s">
        <v>1080</v>
      </c>
      <c r="C516" s="493" t="s">
        <v>1302</v>
      </c>
      <c r="D516" s="494" t="s">
        <v>301</v>
      </c>
      <c r="E516" s="495" t="s">
        <v>22</v>
      </c>
      <c r="F516" s="495">
        <v>1</v>
      </c>
      <c r="G516" s="495">
        <f>TRUNC(H523,2)</f>
        <v>11.1</v>
      </c>
      <c r="H516" s="219">
        <f t="shared" ref="H516:H522" si="19">TRUNC(F516*G516,2)</f>
        <v>11.1</v>
      </c>
    </row>
    <row r="517" spans="1:8" x14ac:dyDescent="0.2">
      <c r="A517" s="47"/>
      <c r="B517" s="492"/>
      <c r="C517" s="493" t="s">
        <v>1274</v>
      </c>
      <c r="D517" s="494" t="s">
        <v>216</v>
      </c>
      <c r="E517" s="495" t="s">
        <v>22</v>
      </c>
      <c r="F517" s="495">
        <v>0.06</v>
      </c>
      <c r="G517" s="495">
        <f>TRUNC(1.56,2)</f>
        <v>1.56</v>
      </c>
      <c r="H517" s="219">
        <f t="shared" si="19"/>
        <v>0.09</v>
      </c>
    </row>
    <row r="518" spans="1:8" ht="24" x14ac:dyDescent="0.2">
      <c r="A518" s="47"/>
      <c r="B518" s="492"/>
      <c r="C518" s="493" t="s">
        <v>1275</v>
      </c>
      <c r="D518" s="494" t="s">
        <v>219</v>
      </c>
      <c r="E518" s="495" t="s">
        <v>22</v>
      </c>
      <c r="F518" s="495">
        <v>1.0999999999999999E-2</v>
      </c>
      <c r="G518" s="495">
        <f>TRUNC(46.52,2)</f>
        <v>46.52</v>
      </c>
      <c r="H518" s="219">
        <f t="shared" si="19"/>
        <v>0.51</v>
      </c>
    </row>
    <row r="519" spans="1:8" ht="24" x14ac:dyDescent="0.2">
      <c r="A519" s="47"/>
      <c r="B519" s="492"/>
      <c r="C519" s="493" t="s">
        <v>1303</v>
      </c>
      <c r="D519" s="494" t="s">
        <v>251</v>
      </c>
      <c r="E519" s="495" t="s">
        <v>22</v>
      </c>
      <c r="F519" s="495">
        <v>1</v>
      </c>
      <c r="G519" s="495">
        <f>TRUNC(1.36,2)</f>
        <v>1.36</v>
      </c>
      <c r="H519" s="219">
        <f t="shared" si="19"/>
        <v>1.36</v>
      </c>
    </row>
    <row r="520" spans="1:8" x14ac:dyDescent="0.2">
      <c r="A520" s="47"/>
      <c r="B520" s="492"/>
      <c r="C520" s="493" t="s">
        <v>1277</v>
      </c>
      <c r="D520" s="494" t="s">
        <v>223</v>
      </c>
      <c r="E520" s="495" t="s">
        <v>22</v>
      </c>
      <c r="F520" s="495">
        <v>8.9999999999999993E-3</v>
      </c>
      <c r="G520" s="495">
        <f>TRUNC(53.56,2)</f>
        <v>53.56</v>
      </c>
      <c r="H520" s="219">
        <f t="shared" si="19"/>
        <v>0.48</v>
      </c>
    </row>
    <row r="521" spans="1:8" ht="24" x14ac:dyDescent="0.2">
      <c r="A521" s="47"/>
      <c r="B521" s="492"/>
      <c r="C521" s="493" t="s">
        <v>1199</v>
      </c>
      <c r="D521" s="494" t="s">
        <v>224</v>
      </c>
      <c r="E521" s="495" t="s">
        <v>37</v>
      </c>
      <c r="F521" s="495">
        <v>0.17899999999999999</v>
      </c>
      <c r="G521" s="495">
        <f>TRUNC(27.24,2)</f>
        <v>27.24</v>
      </c>
      <c r="H521" s="219">
        <f t="shared" si="19"/>
        <v>4.87</v>
      </c>
    </row>
    <row r="522" spans="1:8" ht="24" x14ac:dyDescent="0.2">
      <c r="A522" s="47"/>
      <c r="B522" s="492"/>
      <c r="C522" s="493" t="s">
        <v>1278</v>
      </c>
      <c r="D522" s="494" t="s">
        <v>225</v>
      </c>
      <c r="E522" s="495" t="s">
        <v>37</v>
      </c>
      <c r="F522" s="495">
        <v>0.17899999999999999</v>
      </c>
      <c r="G522" s="495">
        <f>TRUNC(21.21,2)</f>
        <v>21.21</v>
      </c>
      <c r="H522" s="219">
        <f t="shared" si="19"/>
        <v>3.79</v>
      </c>
    </row>
    <row r="523" spans="1:8" x14ac:dyDescent="0.2">
      <c r="A523" s="47"/>
      <c r="B523" s="492"/>
      <c r="C523" s="493"/>
      <c r="D523" s="494"/>
      <c r="E523" s="495"/>
      <c r="F523" s="495" t="s">
        <v>38</v>
      </c>
      <c r="G523" s="495"/>
      <c r="H523" s="219">
        <f>TRUNC(SUM(H517:H522),2)</f>
        <v>11.1</v>
      </c>
    </row>
    <row r="524" spans="1:8" ht="36" x14ac:dyDescent="0.2">
      <c r="A524" s="47"/>
      <c r="B524" s="492" t="s">
        <v>1081</v>
      </c>
      <c r="C524" s="493" t="s">
        <v>1305</v>
      </c>
      <c r="D524" s="494" t="s">
        <v>302</v>
      </c>
      <c r="E524" s="495" t="s">
        <v>22</v>
      </c>
      <c r="F524" s="495">
        <v>1</v>
      </c>
      <c r="G524" s="495">
        <f>TRUNC(H531,2)</f>
        <v>8.52</v>
      </c>
      <c r="H524" s="219">
        <f t="shared" ref="H524:H530" si="20">TRUNC(F524*G524,2)</f>
        <v>8.52</v>
      </c>
    </row>
    <row r="525" spans="1:8" x14ac:dyDescent="0.2">
      <c r="A525" s="47"/>
      <c r="B525" s="492"/>
      <c r="C525" s="493" t="s">
        <v>1274</v>
      </c>
      <c r="D525" s="494" t="s">
        <v>216</v>
      </c>
      <c r="E525" s="495" t="s">
        <v>22</v>
      </c>
      <c r="F525" s="495">
        <v>0.05</v>
      </c>
      <c r="G525" s="495">
        <f>TRUNC(1.56,2)</f>
        <v>1.56</v>
      </c>
      <c r="H525" s="219">
        <f t="shared" si="20"/>
        <v>7.0000000000000007E-2</v>
      </c>
    </row>
    <row r="526" spans="1:8" ht="24" x14ac:dyDescent="0.2">
      <c r="A526" s="47"/>
      <c r="B526" s="492"/>
      <c r="C526" s="493" t="s">
        <v>1275</v>
      </c>
      <c r="D526" s="494" t="s">
        <v>219</v>
      </c>
      <c r="E526" s="495" t="s">
        <v>22</v>
      </c>
      <c r="F526" s="495">
        <v>8.0000000000000002E-3</v>
      </c>
      <c r="G526" s="495">
        <f>TRUNC(46.52,2)</f>
        <v>46.52</v>
      </c>
      <c r="H526" s="219">
        <f t="shared" si="20"/>
        <v>0.37</v>
      </c>
    </row>
    <row r="527" spans="1:8" ht="24" x14ac:dyDescent="0.2">
      <c r="A527" s="47"/>
      <c r="B527" s="492"/>
      <c r="C527" s="493" t="s">
        <v>1306</v>
      </c>
      <c r="D527" s="494" t="s">
        <v>252</v>
      </c>
      <c r="E527" s="495" t="s">
        <v>22</v>
      </c>
      <c r="F527" s="495">
        <v>1</v>
      </c>
      <c r="G527" s="495">
        <f>TRUNC(0.45,2)</f>
        <v>0.45</v>
      </c>
      <c r="H527" s="219">
        <f t="shared" si="20"/>
        <v>0.45</v>
      </c>
    </row>
    <row r="528" spans="1:8" x14ac:dyDescent="0.2">
      <c r="A528" s="47"/>
      <c r="B528" s="492"/>
      <c r="C528" s="493" t="s">
        <v>1277</v>
      </c>
      <c r="D528" s="494" t="s">
        <v>223</v>
      </c>
      <c r="E528" s="495" t="s">
        <v>22</v>
      </c>
      <c r="F528" s="495">
        <v>7.0000000000000001E-3</v>
      </c>
      <c r="G528" s="495">
        <f>TRUNC(53.56,2)</f>
        <v>53.56</v>
      </c>
      <c r="H528" s="219">
        <f t="shared" si="20"/>
        <v>0.37</v>
      </c>
    </row>
    <row r="529" spans="1:8" ht="24" x14ac:dyDescent="0.2">
      <c r="A529" s="47"/>
      <c r="B529" s="492"/>
      <c r="C529" s="493" t="s">
        <v>1199</v>
      </c>
      <c r="D529" s="494" t="s">
        <v>224</v>
      </c>
      <c r="E529" s="495" t="s">
        <v>37</v>
      </c>
      <c r="F529" s="495">
        <v>0.15</v>
      </c>
      <c r="G529" s="495">
        <f>TRUNC(27.24,2)</f>
        <v>27.24</v>
      </c>
      <c r="H529" s="219">
        <f t="shared" si="20"/>
        <v>4.08</v>
      </c>
    </row>
    <row r="530" spans="1:8" ht="24" x14ac:dyDescent="0.2">
      <c r="A530" s="47"/>
      <c r="B530" s="492"/>
      <c r="C530" s="493" t="s">
        <v>1278</v>
      </c>
      <c r="D530" s="494" t="s">
        <v>225</v>
      </c>
      <c r="E530" s="495" t="s">
        <v>37</v>
      </c>
      <c r="F530" s="495">
        <v>0.15</v>
      </c>
      <c r="G530" s="495">
        <f>TRUNC(21.21,2)</f>
        <v>21.21</v>
      </c>
      <c r="H530" s="219">
        <f t="shared" si="20"/>
        <v>3.18</v>
      </c>
    </row>
    <row r="531" spans="1:8" x14ac:dyDescent="0.2">
      <c r="A531" s="47"/>
      <c r="B531" s="492"/>
      <c r="C531" s="493"/>
      <c r="D531" s="494"/>
      <c r="E531" s="495"/>
      <c r="F531" s="495" t="s">
        <v>38</v>
      </c>
      <c r="G531" s="495"/>
      <c r="H531" s="219">
        <f>TRUNC(SUM(H525:H530),2)</f>
        <v>8.52</v>
      </c>
    </row>
    <row r="532" spans="1:8" ht="36" x14ac:dyDescent="0.2">
      <c r="A532" s="47"/>
      <c r="B532" s="492" t="s">
        <v>1082</v>
      </c>
      <c r="C532" s="493" t="s">
        <v>1307</v>
      </c>
      <c r="D532" s="494" t="s">
        <v>291</v>
      </c>
      <c r="E532" s="495" t="s">
        <v>22</v>
      </c>
      <c r="F532" s="495">
        <v>1</v>
      </c>
      <c r="G532" s="495">
        <f>TRUNC(H539,2)</f>
        <v>7.22</v>
      </c>
      <c r="H532" s="219">
        <f t="shared" ref="H532:H538" si="21">TRUNC(F532*G532,2)</f>
        <v>7.22</v>
      </c>
    </row>
    <row r="533" spans="1:8" x14ac:dyDescent="0.2">
      <c r="A533" s="47"/>
      <c r="B533" s="492"/>
      <c r="C533" s="493" t="s">
        <v>1274</v>
      </c>
      <c r="D533" s="494" t="s">
        <v>216</v>
      </c>
      <c r="E533" s="495" t="s">
        <v>22</v>
      </c>
      <c r="F533" s="495">
        <v>4.2999999999999997E-2</v>
      </c>
      <c r="G533" s="495">
        <f>TRUNC(1.56,2)</f>
        <v>1.56</v>
      </c>
      <c r="H533" s="219">
        <f t="shared" si="21"/>
        <v>0.06</v>
      </c>
    </row>
    <row r="534" spans="1:8" ht="24" x14ac:dyDescent="0.2">
      <c r="A534" s="47"/>
      <c r="B534" s="492"/>
      <c r="C534" s="493" t="s">
        <v>1275</v>
      </c>
      <c r="D534" s="494" t="s">
        <v>219</v>
      </c>
      <c r="E534" s="495" t="s">
        <v>22</v>
      </c>
      <c r="F534" s="495">
        <v>6.0000000000000001E-3</v>
      </c>
      <c r="G534" s="495">
        <f>TRUNC(46.52,2)</f>
        <v>46.52</v>
      </c>
      <c r="H534" s="219">
        <f t="shared" si="21"/>
        <v>0.27</v>
      </c>
    </row>
    <row r="535" spans="1:8" ht="24" x14ac:dyDescent="0.2">
      <c r="A535" s="47"/>
      <c r="B535" s="492"/>
      <c r="C535" s="493" t="s">
        <v>1308</v>
      </c>
      <c r="D535" s="494" t="s">
        <v>292</v>
      </c>
      <c r="E535" s="495" t="s">
        <v>22</v>
      </c>
      <c r="F535" s="495">
        <v>1</v>
      </c>
      <c r="G535" s="495">
        <f>TRUNC(0.33,2)</f>
        <v>0.33</v>
      </c>
      <c r="H535" s="219">
        <f t="shared" si="21"/>
        <v>0.33</v>
      </c>
    </row>
    <row r="536" spans="1:8" x14ac:dyDescent="0.2">
      <c r="A536" s="47"/>
      <c r="B536" s="492"/>
      <c r="C536" s="493" t="s">
        <v>1277</v>
      </c>
      <c r="D536" s="494" t="s">
        <v>223</v>
      </c>
      <c r="E536" s="495" t="s">
        <v>22</v>
      </c>
      <c r="F536" s="495">
        <v>6.0000000000000001E-3</v>
      </c>
      <c r="G536" s="495">
        <f>TRUNC(53.56,2)</f>
        <v>53.56</v>
      </c>
      <c r="H536" s="219">
        <f t="shared" si="21"/>
        <v>0.32</v>
      </c>
    </row>
    <row r="537" spans="1:8" ht="24" x14ac:dyDescent="0.2">
      <c r="A537" s="47"/>
      <c r="B537" s="492"/>
      <c r="C537" s="493" t="s">
        <v>1199</v>
      </c>
      <c r="D537" s="494" t="s">
        <v>224</v>
      </c>
      <c r="E537" s="495" t="s">
        <v>37</v>
      </c>
      <c r="F537" s="495">
        <v>0.129</v>
      </c>
      <c r="G537" s="495">
        <f>TRUNC(27.24,2)</f>
        <v>27.24</v>
      </c>
      <c r="H537" s="219">
        <f t="shared" si="21"/>
        <v>3.51</v>
      </c>
    </row>
    <row r="538" spans="1:8" ht="24" x14ac:dyDescent="0.2">
      <c r="A538" s="47"/>
      <c r="B538" s="492"/>
      <c r="C538" s="493" t="s">
        <v>1278</v>
      </c>
      <c r="D538" s="494" t="s">
        <v>225</v>
      </c>
      <c r="E538" s="495" t="s">
        <v>37</v>
      </c>
      <c r="F538" s="495">
        <v>0.129</v>
      </c>
      <c r="G538" s="495">
        <f>TRUNC(21.21,2)</f>
        <v>21.21</v>
      </c>
      <c r="H538" s="219">
        <f t="shared" si="21"/>
        <v>2.73</v>
      </c>
    </row>
    <row r="539" spans="1:8" x14ac:dyDescent="0.2">
      <c r="A539" s="47"/>
      <c r="B539" s="492"/>
      <c r="C539" s="493"/>
      <c r="D539" s="494"/>
      <c r="E539" s="495"/>
      <c r="F539" s="495" t="s">
        <v>38</v>
      </c>
      <c r="G539" s="495"/>
      <c r="H539" s="219">
        <f>TRUNC(SUM(H533:H538),2)</f>
        <v>7.22</v>
      </c>
    </row>
    <row r="540" spans="1:8" ht="16.5" thickBot="1" x14ac:dyDescent="0.25">
      <c r="A540" s="47"/>
      <c r="B540" s="571"/>
      <c r="C540" s="523"/>
      <c r="D540" s="545"/>
      <c r="E540" s="546"/>
      <c r="F540" s="546"/>
      <c r="G540" s="546"/>
      <c r="H540" s="77"/>
    </row>
    <row r="541" spans="1:8" ht="36" x14ac:dyDescent="0.2">
      <c r="A541" s="47"/>
      <c r="B541" s="551"/>
      <c r="C541" s="509" t="s">
        <v>304</v>
      </c>
      <c r="D541" s="516" t="s">
        <v>305</v>
      </c>
      <c r="E541" s="547" t="s">
        <v>22</v>
      </c>
      <c r="F541" s="547">
        <v>1</v>
      </c>
      <c r="G541" s="547">
        <f>TRUNC(H543,2)</f>
        <v>3.51</v>
      </c>
      <c r="H541" s="378">
        <f>TRUNC(F541*G541,2)</f>
        <v>3.51</v>
      </c>
    </row>
    <row r="542" spans="1:8" ht="24" x14ac:dyDescent="0.2">
      <c r="A542" s="47"/>
      <c r="B542" s="551"/>
      <c r="C542" s="528" t="s">
        <v>270</v>
      </c>
      <c r="D542" s="494" t="s">
        <v>603</v>
      </c>
      <c r="E542" s="495" t="s">
        <v>22</v>
      </c>
      <c r="F542" s="495">
        <v>1</v>
      </c>
      <c r="G542" s="495">
        <f>TRUNC(3.5185,2)</f>
        <v>3.51</v>
      </c>
      <c r="H542" s="379">
        <f>TRUNC(F542*G542,2)</f>
        <v>3.51</v>
      </c>
    </row>
    <row r="543" spans="1:8" x14ac:dyDescent="0.2">
      <c r="A543" s="47"/>
      <c r="B543" s="551"/>
      <c r="C543" s="528"/>
      <c r="D543" s="494"/>
      <c r="E543" s="495"/>
      <c r="F543" s="495" t="s">
        <v>38</v>
      </c>
      <c r="G543" s="495"/>
      <c r="H543" s="379">
        <f>TRUNC(SUM(H542:H542),2)</f>
        <v>3.51</v>
      </c>
    </row>
    <row r="544" spans="1:8" x14ac:dyDescent="0.2">
      <c r="A544" s="47"/>
      <c r="B544" s="551"/>
      <c r="C544" s="528"/>
      <c r="D544" s="495" t="s">
        <v>604</v>
      </c>
      <c r="E544" s="495"/>
      <c r="F544" s="495"/>
      <c r="G544" s="495"/>
      <c r="H544" s="379"/>
    </row>
    <row r="545" spans="1:8" ht="12" customHeight="1" x14ac:dyDescent="0.2">
      <c r="A545" s="47"/>
      <c r="B545" s="551"/>
      <c r="C545" s="558" t="s">
        <v>35</v>
      </c>
      <c r="D545" s="494" t="s">
        <v>36</v>
      </c>
      <c r="E545" s="495" t="s">
        <v>37</v>
      </c>
      <c r="F545" s="495">
        <v>0.13</v>
      </c>
      <c r="G545" s="495">
        <v>15.09</v>
      </c>
      <c r="H545" s="379">
        <f>TRUNC(F545*G545,2)</f>
        <v>1.96</v>
      </c>
    </row>
    <row r="546" spans="1:8" ht="12" customHeight="1" x14ac:dyDescent="0.2">
      <c r="A546" s="47"/>
      <c r="B546" s="551"/>
      <c r="C546" s="558" t="s">
        <v>209</v>
      </c>
      <c r="D546" s="494" t="s">
        <v>210</v>
      </c>
      <c r="E546" s="495" t="s">
        <v>37</v>
      </c>
      <c r="F546" s="495">
        <v>0.13</v>
      </c>
      <c r="G546" s="495">
        <v>20.83</v>
      </c>
      <c r="H546" s="379">
        <f>TRUNC(F546*G546,2)</f>
        <v>2.7</v>
      </c>
    </row>
    <row r="547" spans="1:8" x14ac:dyDescent="0.2">
      <c r="A547" s="47"/>
      <c r="B547" s="551"/>
      <c r="C547" s="558"/>
      <c r="D547" s="545"/>
      <c r="E547" s="546"/>
      <c r="F547" s="546" t="s">
        <v>38</v>
      </c>
      <c r="G547" s="546"/>
      <c r="H547" s="383">
        <f>SUM(H545:H546)</f>
        <v>4.66</v>
      </c>
    </row>
    <row r="548" spans="1:8" ht="18.75" x14ac:dyDescent="0.2">
      <c r="A548" s="47"/>
      <c r="B548" s="551" t="s">
        <v>1083</v>
      </c>
      <c r="C548" s="558"/>
      <c r="D548" s="572" t="s">
        <v>297</v>
      </c>
      <c r="E548" s="573"/>
      <c r="F548" s="573"/>
      <c r="G548" s="573"/>
      <c r="H548" s="390">
        <f>G541+H547</f>
        <v>8.17</v>
      </c>
    </row>
    <row r="549" spans="1:8" ht="16.5" thickBot="1" x14ac:dyDescent="0.25">
      <c r="A549" s="47"/>
      <c r="B549" s="551"/>
      <c r="C549" s="574"/>
      <c r="D549" s="548"/>
      <c r="E549" s="549"/>
      <c r="F549" s="549"/>
      <c r="G549" s="549"/>
      <c r="H549" s="381"/>
    </row>
    <row r="550" spans="1:8" x14ac:dyDescent="0.2">
      <c r="A550" s="47"/>
      <c r="B550" s="492"/>
      <c r="C550" s="563"/>
      <c r="D550" s="564"/>
      <c r="E550" s="565"/>
      <c r="F550" s="565"/>
      <c r="G550" s="565"/>
      <c r="H550" s="219"/>
    </row>
    <row r="551" spans="1:8" ht="48" x14ac:dyDescent="0.2">
      <c r="A551" s="47"/>
      <c r="B551" s="492" t="s">
        <v>1084</v>
      </c>
      <c r="C551" s="493" t="s">
        <v>1309</v>
      </c>
      <c r="D551" s="494" t="s">
        <v>294</v>
      </c>
      <c r="E551" s="495" t="s">
        <v>22</v>
      </c>
      <c r="F551" s="495">
        <v>1</v>
      </c>
      <c r="G551" s="495">
        <f>TRUNC(H558,2)</f>
        <v>11.89</v>
      </c>
      <c r="H551" s="219">
        <f t="shared" ref="H551:H557" si="22">TRUNC(F551*G551,2)</f>
        <v>11.89</v>
      </c>
    </row>
    <row r="552" spans="1:8" x14ac:dyDescent="0.2">
      <c r="A552" s="47"/>
      <c r="B552" s="492"/>
      <c r="C552" s="493" t="s">
        <v>1274</v>
      </c>
      <c r="D552" s="494" t="s">
        <v>216</v>
      </c>
      <c r="E552" s="495" t="s">
        <v>22</v>
      </c>
      <c r="F552" s="495">
        <v>0.05</v>
      </c>
      <c r="G552" s="495">
        <f>TRUNC(1.56,2)</f>
        <v>1.56</v>
      </c>
      <c r="H552" s="219">
        <f t="shared" si="22"/>
        <v>7.0000000000000007E-2</v>
      </c>
    </row>
    <row r="553" spans="1:8" ht="24" x14ac:dyDescent="0.2">
      <c r="A553" s="47"/>
      <c r="B553" s="492"/>
      <c r="C553" s="493" t="s">
        <v>1310</v>
      </c>
      <c r="D553" s="494" t="s">
        <v>295</v>
      </c>
      <c r="E553" s="495" t="s">
        <v>22</v>
      </c>
      <c r="F553" s="495">
        <v>1</v>
      </c>
      <c r="G553" s="495">
        <f>TRUNC(3.82,2)</f>
        <v>3.82</v>
      </c>
      <c r="H553" s="219">
        <f t="shared" si="22"/>
        <v>3.82</v>
      </c>
    </row>
    <row r="554" spans="1:8" ht="24" x14ac:dyDescent="0.2">
      <c r="A554" s="47"/>
      <c r="B554" s="492"/>
      <c r="C554" s="493" t="s">
        <v>1275</v>
      </c>
      <c r="D554" s="494" t="s">
        <v>219</v>
      </c>
      <c r="E554" s="495" t="s">
        <v>22</v>
      </c>
      <c r="F554" s="495">
        <v>8.0000000000000002E-3</v>
      </c>
      <c r="G554" s="495">
        <f>TRUNC(46.52,2)</f>
        <v>46.52</v>
      </c>
      <c r="H554" s="219">
        <f t="shared" si="22"/>
        <v>0.37</v>
      </c>
    </row>
    <row r="555" spans="1:8" x14ac:dyDescent="0.2">
      <c r="A555" s="47"/>
      <c r="B555" s="492"/>
      <c r="C555" s="493" t="s">
        <v>1277</v>
      </c>
      <c r="D555" s="494" t="s">
        <v>223</v>
      </c>
      <c r="E555" s="495" t="s">
        <v>22</v>
      </c>
      <c r="F555" s="495">
        <v>7.0000000000000001E-3</v>
      </c>
      <c r="G555" s="495">
        <f>TRUNC(53.56,2)</f>
        <v>53.56</v>
      </c>
      <c r="H555" s="219">
        <f t="shared" si="22"/>
        <v>0.37</v>
      </c>
    </row>
    <row r="556" spans="1:8" ht="24" x14ac:dyDescent="0.2">
      <c r="A556" s="47"/>
      <c r="B556" s="492"/>
      <c r="C556" s="493" t="s">
        <v>1199</v>
      </c>
      <c r="D556" s="494" t="s">
        <v>224</v>
      </c>
      <c r="E556" s="495" t="s">
        <v>37</v>
      </c>
      <c r="F556" s="495">
        <v>0.15</v>
      </c>
      <c r="G556" s="495">
        <f>TRUNC(27.24,2)</f>
        <v>27.24</v>
      </c>
      <c r="H556" s="219">
        <f t="shared" si="22"/>
        <v>4.08</v>
      </c>
    </row>
    <row r="557" spans="1:8" ht="24" x14ac:dyDescent="0.2">
      <c r="A557" s="47"/>
      <c r="B557" s="492"/>
      <c r="C557" s="493" t="s">
        <v>1278</v>
      </c>
      <c r="D557" s="494" t="s">
        <v>225</v>
      </c>
      <c r="E557" s="495" t="s">
        <v>37</v>
      </c>
      <c r="F557" s="495">
        <v>0.15</v>
      </c>
      <c r="G557" s="495">
        <f>TRUNC(21.21,2)</f>
        <v>21.21</v>
      </c>
      <c r="H557" s="219">
        <f t="shared" si="22"/>
        <v>3.18</v>
      </c>
    </row>
    <row r="558" spans="1:8" x14ac:dyDescent="0.2">
      <c r="A558" s="47"/>
      <c r="B558" s="492"/>
      <c r="C558" s="493"/>
      <c r="D558" s="494"/>
      <c r="E558" s="495"/>
      <c r="F558" s="495" t="s">
        <v>38</v>
      </c>
      <c r="G558" s="495"/>
      <c r="H558" s="219">
        <f>TRUNC(SUM(H552:H557),2)</f>
        <v>11.89</v>
      </c>
    </row>
    <row r="559" spans="1:8" ht="36" x14ac:dyDescent="0.2">
      <c r="A559" s="47"/>
      <c r="B559" s="492" t="s">
        <v>1085</v>
      </c>
      <c r="C559" s="493" t="s">
        <v>605</v>
      </c>
      <c r="D559" s="494" t="s">
        <v>1596</v>
      </c>
      <c r="E559" s="495" t="s">
        <v>22</v>
      </c>
      <c r="F559" s="495">
        <v>1</v>
      </c>
      <c r="G559" s="495">
        <f>TRUNC(H567,2)</f>
        <v>14.36</v>
      </c>
      <c r="H559" s="219">
        <f t="shared" ref="H559:H566" si="23">TRUNC(F559*G559,2)</f>
        <v>14.36</v>
      </c>
    </row>
    <row r="560" spans="1:8" x14ac:dyDescent="0.2">
      <c r="A560" s="47"/>
      <c r="B560" s="492"/>
      <c r="C560" s="493" t="s">
        <v>1274</v>
      </c>
      <c r="D560" s="494" t="s">
        <v>216</v>
      </c>
      <c r="E560" s="495" t="s">
        <v>22</v>
      </c>
      <c r="F560" s="495">
        <v>0.02</v>
      </c>
      <c r="G560" s="495">
        <f>TRUNC(1.56,2)</f>
        <v>1.56</v>
      </c>
      <c r="H560" s="219">
        <f t="shared" si="23"/>
        <v>0.03</v>
      </c>
    </row>
    <row r="561" spans="1:8" ht="24" x14ac:dyDescent="0.2">
      <c r="A561" s="47"/>
      <c r="B561" s="492"/>
      <c r="C561" s="493" t="s">
        <v>1275</v>
      </c>
      <c r="D561" s="494" t="s">
        <v>219</v>
      </c>
      <c r="E561" s="495" t="s">
        <v>22</v>
      </c>
      <c r="F561" s="495">
        <v>1.2E-2</v>
      </c>
      <c r="G561" s="495">
        <f>TRUNC(46.52,2)</f>
        <v>46.52</v>
      </c>
      <c r="H561" s="219">
        <f t="shared" si="23"/>
        <v>0.55000000000000004</v>
      </c>
    </row>
    <row r="562" spans="1:8" ht="24" x14ac:dyDescent="0.2">
      <c r="A562" s="47"/>
      <c r="B562" s="492"/>
      <c r="C562" s="493" t="s">
        <v>1311</v>
      </c>
      <c r="D562" s="494" t="s">
        <v>268</v>
      </c>
      <c r="E562" s="495" t="s">
        <v>22</v>
      </c>
      <c r="F562" s="495">
        <v>0</v>
      </c>
      <c r="G562" s="495">
        <f>TRUNC(0.77,2)</f>
        <v>0.77</v>
      </c>
      <c r="H562" s="219">
        <f t="shared" si="23"/>
        <v>0</v>
      </c>
    </row>
    <row r="563" spans="1:8" ht="12" customHeight="1" x14ac:dyDescent="0.2">
      <c r="A563" s="47"/>
      <c r="B563" s="492"/>
      <c r="C563" s="493" t="s">
        <v>51</v>
      </c>
      <c r="D563" s="494" t="s">
        <v>306</v>
      </c>
      <c r="E563" s="495" t="s">
        <v>22</v>
      </c>
      <c r="F563" s="495">
        <v>1</v>
      </c>
      <c r="G563" s="495">
        <v>4.49</v>
      </c>
      <c r="H563" s="219">
        <f t="shared" si="23"/>
        <v>4.49</v>
      </c>
    </row>
    <row r="564" spans="1:8" x14ac:dyDescent="0.2">
      <c r="A564" s="47"/>
      <c r="B564" s="492"/>
      <c r="C564" s="493" t="s">
        <v>1277</v>
      </c>
      <c r="D564" s="494" t="s">
        <v>223</v>
      </c>
      <c r="E564" s="495" t="s">
        <v>22</v>
      </c>
      <c r="F564" s="495">
        <v>1.0999999999999999E-2</v>
      </c>
      <c r="G564" s="495">
        <f>TRUNC(53.56,2)</f>
        <v>53.56</v>
      </c>
      <c r="H564" s="219">
        <f t="shared" si="23"/>
        <v>0.57999999999999996</v>
      </c>
    </row>
    <row r="565" spans="1:8" ht="24" x14ac:dyDescent="0.2">
      <c r="A565" s="47"/>
      <c r="B565" s="492"/>
      <c r="C565" s="493" t="s">
        <v>1199</v>
      </c>
      <c r="D565" s="494" t="s">
        <v>224</v>
      </c>
      <c r="E565" s="495" t="s">
        <v>37</v>
      </c>
      <c r="F565" s="495">
        <v>0.18</v>
      </c>
      <c r="G565" s="495">
        <f>TRUNC(27.24,2)</f>
        <v>27.24</v>
      </c>
      <c r="H565" s="219">
        <f t="shared" si="23"/>
        <v>4.9000000000000004</v>
      </c>
    </row>
    <row r="566" spans="1:8" ht="24" x14ac:dyDescent="0.2">
      <c r="A566" s="47"/>
      <c r="B566" s="492"/>
      <c r="C566" s="493" t="s">
        <v>1278</v>
      </c>
      <c r="D566" s="494" t="s">
        <v>225</v>
      </c>
      <c r="E566" s="495" t="s">
        <v>37</v>
      </c>
      <c r="F566" s="495">
        <v>0.18</v>
      </c>
      <c r="G566" s="495">
        <f>TRUNC(21.21,2)</f>
        <v>21.21</v>
      </c>
      <c r="H566" s="219">
        <f t="shared" si="23"/>
        <v>3.81</v>
      </c>
    </row>
    <row r="567" spans="1:8" x14ac:dyDescent="0.2">
      <c r="A567" s="47"/>
      <c r="B567" s="492"/>
      <c r="C567" s="493"/>
      <c r="D567" s="494"/>
      <c r="E567" s="495"/>
      <c r="F567" s="495" t="s">
        <v>38</v>
      </c>
      <c r="G567" s="495"/>
      <c r="H567" s="219">
        <f>TRUNC(SUM(H560:H566),2)</f>
        <v>14.36</v>
      </c>
    </row>
    <row r="568" spans="1:8" ht="36" x14ac:dyDescent="0.2">
      <c r="A568" s="47"/>
      <c r="B568" s="492" t="s">
        <v>1086</v>
      </c>
      <c r="C568" s="493" t="s">
        <v>608</v>
      </c>
      <c r="D568" s="494" t="s">
        <v>1597</v>
      </c>
      <c r="E568" s="495" t="s">
        <v>22</v>
      </c>
      <c r="F568" s="495">
        <v>1</v>
      </c>
      <c r="G568" s="495">
        <f>TRUNC(H575,2)</f>
        <v>9.67</v>
      </c>
      <c r="H568" s="219">
        <f t="shared" ref="H568:H574" si="24">TRUNC(F568*G568,2)</f>
        <v>9.67</v>
      </c>
    </row>
    <row r="569" spans="1:8" x14ac:dyDescent="0.2">
      <c r="A569" s="47"/>
      <c r="B569" s="492"/>
      <c r="C569" s="493" t="s">
        <v>1274</v>
      </c>
      <c r="D569" s="494" t="s">
        <v>216</v>
      </c>
      <c r="E569" s="495" t="s">
        <v>22</v>
      </c>
      <c r="F569" s="495">
        <v>0.02</v>
      </c>
      <c r="G569" s="495">
        <f>TRUNC(1.56,2)</f>
        <v>1.56</v>
      </c>
      <c r="H569" s="219">
        <f t="shared" si="24"/>
        <v>0.03</v>
      </c>
    </row>
    <row r="570" spans="1:8" ht="24" x14ac:dyDescent="0.2">
      <c r="A570" s="47"/>
      <c r="B570" s="492"/>
      <c r="C570" s="493" t="s">
        <v>1275</v>
      </c>
      <c r="D570" s="494" t="s">
        <v>219</v>
      </c>
      <c r="E570" s="495" t="s">
        <v>22</v>
      </c>
      <c r="F570" s="495">
        <v>1.2E-2</v>
      </c>
      <c r="G570" s="495">
        <f>TRUNC(46.52,2)</f>
        <v>46.52</v>
      </c>
      <c r="H570" s="219">
        <f t="shared" si="24"/>
        <v>0.55000000000000004</v>
      </c>
    </row>
    <row r="571" spans="1:8" ht="24" x14ac:dyDescent="0.2">
      <c r="A571" s="47"/>
      <c r="B571" s="492"/>
      <c r="C571" s="493" t="s">
        <v>1311</v>
      </c>
      <c r="D571" s="494" t="s">
        <v>268</v>
      </c>
      <c r="E571" s="495" t="s">
        <v>22</v>
      </c>
      <c r="F571" s="495">
        <v>1</v>
      </c>
      <c r="G571" s="495">
        <f>TRUNC(0.77,2)</f>
        <v>0.77</v>
      </c>
      <c r="H571" s="219">
        <f t="shared" si="24"/>
        <v>0.77</v>
      </c>
    </row>
    <row r="572" spans="1:8" x14ac:dyDescent="0.2">
      <c r="A572" s="47"/>
      <c r="B572" s="492"/>
      <c r="C572" s="493" t="s">
        <v>1277</v>
      </c>
      <c r="D572" s="494" t="s">
        <v>223</v>
      </c>
      <c r="E572" s="495" t="s">
        <v>22</v>
      </c>
      <c r="F572" s="495">
        <v>1.0999999999999999E-2</v>
      </c>
      <c r="G572" s="495">
        <f>TRUNC(53.56,2)</f>
        <v>53.56</v>
      </c>
      <c r="H572" s="219">
        <f t="shared" si="24"/>
        <v>0.57999999999999996</v>
      </c>
    </row>
    <row r="573" spans="1:8" ht="24" x14ac:dyDescent="0.2">
      <c r="A573" s="47"/>
      <c r="B573" s="492"/>
      <c r="C573" s="493" t="s">
        <v>1199</v>
      </c>
      <c r="D573" s="494" t="s">
        <v>224</v>
      </c>
      <c r="E573" s="495" t="s">
        <v>37</v>
      </c>
      <c r="F573" s="495">
        <v>0.16</v>
      </c>
      <c r="G573" s="495">
        <f>TRUNC(27.24,2)</f>
        <v>27.24</v>
      </c>
      <c r="H573" s="219">
        <f t="shared" si="24"/>
        <v>4.3499999999999996</v>
      </c>
    </row>
    <row r="574" spans="1:8" ht="24" x14ac:dyDescent="0.2">
      <c r="A574" s="47"/>
      <c r="B574" s="492"/>
      <c r="C574" s="493" t="s">
        <v>1278</v>
      </c>
      <c r="D574" s="494" t="s">
        <v>225</v>
      </c>
      <c r="E574" s="495" t="s">
        <v>37</v>
      </c>
      <c r="F574" s="495">
        <v>0.16</v>
      </c>
      <c r="G574" s="495">
        <f>TRUNC(21.21,2)</f>
        <v>21.21</v>
      </c>
      <c r="H574" s="219">
        <f t="shared" si="24"/>
        <v>3.39</v>
      </c>
    </row>
    <row r="575" spans="1:8" x14ac:dyDescent="0.2">
      <c r="A575" s="47"/>
      <c r="B575" s="492"/>
      <c r="C575" s="493"/>
      <c r="D575" s="494"/>
      <c r="E575" s="495"/>
      <c r="F575" s="495" t="s">
        <v>38</v>
      </c>
      <c r="G575" s="495"/>
      <c r="H575" s="219">
        <f>TRUNC(SUM(H569:H574),2)</f>
        <v>9.67</v>
      </c>
    </row>
    <row r="576" spans="1:8" ht="36" x14ac:dyDescent="0.2">
      <c r="A576" s="47"/>
      <c r="B576" s="492" t="s">
        <v>1087</v>
      </c>
      <c r="C576" s="493" t="s">
        <v>308</v>
      </c>
      <c r="D576" s="494" t="s">
        <v>1598</v>
      </c>
      <c r="E576" s="495" t="s">
        <v>22</v>
      </c>
      <c r="F576" s="495">
        <v>1</v>
      </c>
      <c r="G576" s="495">
        <f>TRUNC(H584,2)</f>
        <v>29.17</v>
      </c>
      <c r="H576" s="219">
        <f>TRUNC(F576*G576,2)</f>
        <v>29.17</v>
      </c>
    </row>
    <row r="577" spans="1:8" x14ac:dyDescent="0.2">
      <c r="A577" s="47"/>
      <c r="B577" s="492"/>
      <c r="C577" s="493" t="s">
        <v>1274</v>
      </c>
      <c r="D577" s="494" t="s">
        <v>216</v>
      </c>
      <c r="E577" s="495" t="s">
        <v>22</v>
      </c>
      <c r="F577" s="495">
        <v>8.8999999999999996E-2</v>
      </c>
      <c r="G577" s="495">
        <f>TRUNC(1.56,2)</f>
        <v>1.56</v>
      </c>
      <c r="H577" s="219">
        <f>TRUNC(F577*G577,2)</f>
        <v>0.13</v>
      </c>
    </row>
    <row r="578" spans="1:8" ht="24" x14ac:dyDescent="0.2">
      <c r="A578" s="47"/>
      <c r="B578" s="492"/>
      <c r="C578" s="493" t="s">
        <v>1275</v>
      </c>
      <c r="D578" s="494" t="s">
        <v>219</v>
      </c>
      <c r="E578" s="495" t="s">
        <v>22</v>
      </c>
      <c r="F578" s="495">
        <v>1.7000000000000001E-2</v>
      </c>
      <c r="G578" s="495">
        <f>TRUNC(46.52,2)</f>
        <v>46.52</v>
      </c>
      <c r="H578" s="219">
        <f>TRUNC(F578*G578,2)</f>
        <v>0.79</v>
      </c>
    </row>
    <row r="579" spans="1:8" ht="24" x14ac:dyDescent="0.2">
      <c r="A579" s="47"/>
      <c r="B579" s="492"/>
      <c r="C579" s="493" t="s">
        <v>1313</v>
      </c>
      <c r="D579" s="494" t="s">
        <v>255</v>
      </c>
      <c r="E579" s="495" t="s">
        <v>22</v>
      </c>
      <c r="F579" s="495">
        <v>0</v>
      </c>
      <c r="G579" s="495">
        <f>TRUNC(3.83,2)</f>
        <v>3.83</v>
      </c>
      <c r="H579" s="219">
        <f>TRUNC(F579*G579,2)</f>
        <v>0</v>
      </c>
    </row>
    <row r="580" spans="1:8" x14ac:dyDescent="0.2">
      <c r="A580" s="47"/>
      <c r="B580" s="492"/>
      <c r="C580" s="493" t="s">
        <v>1277</v>
      </c>
      <c r="D580" s="494" t="s">
        <v>223</v>
      </c>
      <c r="E580" s="495" t="s">
        <v>22</v>
      </c>
      <c r="F580" s="495">
        <v>1.4E-2</v>
      </c>
      <c r="G580" s="495">
        <f>TRUNC(53.56,2)</f>
        <v>53.56</v>
      </c>
      <c r="H580" s="219">
        <f>TRUNC(F580*G580,2)</f>
        <v>0.74</v>
      </c>
    </row>
    <row r="581" spans="1:8" x14ac:dyDescent="0.2">
      <c r="A581" s="47"/>
      <c r="B581" s="492"/>
      <c r="C581" s="493" t="s">
        <v>96</v>
      </c>
      <c r="D581" s="391" t="s">
        <v>309</v>
      </c>
      <c r="E581" s="495" t="s">
        <v>22</v>
      </c>
      <c r="F581" s="495">
        <v>1</v>
      </c>
      <c r="G581" s="495">
        <v>15.99</v>
      </c>
      <c r="H581" s="219">
        <f t="shared" ref="H581" si="25">TRUNC(F581*G581,2)</f>
        <v>15.99</v>
      </c>
    </row>
    <row r="582" spans="1:8" ht="24" x14ac:dyDescent="0.2">
      <c r="A582" s="47"/>
      <c r="B582" s="492"/>
      <c r="C582" s="493" t="s">
        <v>1199</v>
      </c>
      <c r="D582" s="494" t="s">
        <v>224</v>
      </c>
      <c r="E582" s="495" t="s">
        <v>37</v>
      </c>
      <c r="F582" s="495">
        <v>0.23799999999999999</v>
      </c>
      <c r="G582" s="495">
        <f>TRUNC(27.24,2)</f>
        <v>27.24</v>
      </c>
      <c r="H582" s="219">
        <f>TRUNC(F582*G582,2)</f>
        <v>6.48</v>
      </c>
    </row>
    <row r="583" spans="1:8" ht="24" x14ac:dyDescent="0.2">
      <c r="A583" s="47"/>
      <c r="B583" s="492"/>
      <c r="C583" s="493" t="s">
        <v>1278</v>
      </c>
      <c r="D583" s="494" t="s">
        <v>225</v>
      </c>
      <c r="E583" s="495" t="s">
        <v>37</v>
      </c>
      <c r="F583" s="495">
        <v>0.23799999999999999</v>
      </c>
      <c r="G583" s="495">
        <f>TRUNC(21.21,2)</f>
        <v>21.21</v>
      </c>
      <c r="H583" s="219">
        <f>TRUNC(F583*G583,2)</f>
        <v>5.04</v>
      </c>
    </row>
    <row r="584" spans="1:8" x14ac:dyDescent="0.2">
      <c r="A584" s="47"/>
      <c r="B584" s="492"/>
      <c r="C584" s="493"/>
      <c r="D584" s="494"/>
      <c r="E584" s="495"/>
      <c r="F584" s="495" t="s">
        <v>38</v>
      </c>
      <c r="G584" s="495"/>
      <c r="H584" s="219">
        <f>TRUNC(SUM(H577:H583),2)</f>
        <v>29.17</v>
      </c>
    </row>
    <row r="585" spans="1:8" ht="36" x14ac:dyDescent="0.2">
      <c r="A585" s="47"/>
      <c r="B585" s="492" t="s">
        <v>1088</v>
      </c>
      <c r="C585" s="493" t="s">
        <v>1312</v>
      </c>
      <c r="D585" s="494" t="s">
        <v>254</v>
      </c>
      <c r="E585" s="495" t="s">
        <v>22</v>
      </c>
      <c r="F585" s="495">
        <v>1</v>
      </c>
      <c r="G585" s="495">
        <f>TRUNC(H592,2)</f>
        <v>17.010000000000002</v>
      </c>
      <c r="H585" s="219">
        <f t="shared" ref="H585:H591" si="26">TRUNC(F585*G585,2)</f>
        <v>17.010000000000002</v>
      </c>
    </row>
    <row r="586" spans="1:8" x14ac:dyDescent="0.2">
      <c r="A586" s="47"/>
      <c r="B586" s="492"/>
      <c r="C586" s="493" t="s">
        <v>1274</v>
      </c>
      <c r="D586" s="494" t="s">
        <v>216</v>
      </c>
      <c r="E586" s="495" t="s">
        <v>22</v>
      </c>
      <c r="F586" s="495">
        <v>8.8999999999999996E-2</v>
      </c>
      <c r="G586" s="495">
        <f>TRUNC(1.56,2)</f>
        <v>1.56</v>
      </c>
      <c r="H586" s="219">
        <f t="shared" si="26"/>
        <v>0.13</v>
      </c>
    </row>
    <row r="587" spans="1:8" ht="24" x14ac:dyDescent="0.2">
      <c r="A587" s="47"/>
      <c r="B587" s="492"/>
      <c r="C587" s="493" t="s">
        <v>1275</v>
      </c>
      <c r="D587" s="494" t="s">
        <v>219</v>
      </c>
      <c r="E587" s="495" t="s">
        <v>22</v>
      </c>
      <c r="F587" s="495">
        <v>1.7000000000000001E-2</v>
      </c>
      <c r="G587" s="495">
        <f>TRUNC(46.52,2)</f>
        <v>46.52</v>
      </c>
      <c r="H587" s="219">
        <f t="shared" si="26"/>
        <v>0.79</v>
      </c>
    </row>
    <row r="588" spans="1:8" ht="24" x14ac:dyDescent="0.2">
      <c r="A588" s="47"/>
      <c r="B588" s="492"/>
      <c r="C588" s="493" t="s">
        <v>1313</v>
      </c>
      <c r="D588" s="494" t="s">
        <v>255</v>
      </c>
      <c r="E588" s="495" t="s">
        <v>22</v>
      </c>
      <c r="F588" s="495">
        <v>1</v>
      </c>
      <c r="G588" s="495">
        <f>TRUNC(3.83,2)</f>
        <v>3.83</v>
      </c>
      <c r="H588" s="219">
        <f t="shared" si="26"/>
        <v>3.83</v>
      </c>
    </row>
    <row r="589" spans="1:8" x14ac:dyDescent="0.2">
      <c r="A589" s="47"/>
      <c r="B589" s="492"/>
      <c r="C589" s="493" t="s">
        <v>1277</v>
      </c>
      <c r="D589" s="494" t="s">
        <v>223</v>
      </c>
      <c r="E589" s="495" t="s">
        <v>22</v>
      </c>
      <c r="F589" s="495">
        <v>1.4E-2</v>
      </c>
      <c r="G589" s="495">
        <f>TRUNC(53.56,2)</f>
        <v>53.56</v>
      </c>
      <c r="H589" s="219">
        <f t="shared" si="26"/>
        <v>0.74</v>
      </c>
    </row>
    <row r="590" spans="1:8" ht="24" x14ac:dyDescent="0.2">
      <c r="A590" s="47"/>
      <c r="B590" s="492"/>
      <c r="C590" s="493" t="s">
        <v>1199</v>
      </c>
      <c r="D590" s="494" t="s">
        <v>224</v>
      </c>
      <c r="E590" s="495" t="s">
        <v>37</v>
      </c>
      <c r="F590" s="495">
        <v>0.23799999999999999</v>
      </c>
      <c r="G590" s="495">
        <f>TRUNC(27.24,2)</f>
        <v>27.24</v>
      </c>
      <c r="H590" s="219">
        <f t="shared" si="26"/>
        <v>6.48</v>
      </c>
    </row>
    <row r="591" spans="1:8" ht="24" x14ac:dyDescent="0.2">
      <c r="A591" s="47"/>
      <c r="B591" s="492"/>
      <c r="C591" s="493" t="s">
        <v>1278</v>
      </c>
      <c r="D591" s="494" t="s">
        <v>225</v>
      </c>
      <c r="E591" s="495" t="s">
        <v>37</v>
      </c>
      <c r="F591" s="495">
        <v>0.23799999999999999</v>
      </c>
      <c r="G591" s="495">
        <f>TRUNC(21.21,2)</f>
        <v>21.21</v>
      </c>
      <c r="H591" s="219">
        <f t="shared" si="26"/>
        <v>5.04</v>
      </c>
    </row>
    <row r="592" spans="1:8" x14ac:dyDescent="0.2">
      <c r="A592" s="47"/>
      <c r="B592" s="492"/>
      <c r="C592" s="493"/>
      <c r="D592" s="494"/>
      <c r="E592" s="495"/>
      <c r="F592" s="495" t="s">
        <v>38</v>
      </c>
      <c r="G592" s="495"/>
      <c r="H592" s="219">
        <f>TRUNC(SUM(H586:H591),2)</f>
        <v>17.010000000000002</v>
      </c>
    </row>
    <row r="593" spans="1:8" ht="36" x14ac:dyDescent="0.2">
      <c r="A593" s="47"/>
      <c r="B593" s="492" t="s">
        <v>1089</v>
      </c>
      <c r="C593" s="509" t="s">
        <v>307</v>
      </c>
      <c r="D593" s="516" t="s">
        <v>888</v>
      </c>
      <c r="E593" s="495" t="s">
        <v>22</v>
      </c>
      <c r="F593" s="495">
        <v>1</v>
      </c>
      <c r="G593" s="495">
        <f>TRUNC(H600,2)</f>
        <v>10.93</v>
      </c>
      <c r="H593" s="219">
        <f t="shared" ref="H593:H599" si="27">TRUNC(F593*G593,2)</f>
        <v>10.93</v>
      </c>
    </row>
    <row r="594" spans="1:8" x14ac:dyDescent="0.2">
      <c r="A594" s="47"/>
      <c r="B594" s="492"/>
      <c r="C594" s="493" t="s">
        <v>1274</v>
      </c>
      <c r="D594" s="494" t="s">
        <v>216</v>
      </c>
      <c r="E594" s="495" t="s">
        <v>22</v>
      </c>
      <c r="F594" s="495">
        <v>0.02</v>
      </c>
      <c r="G594" s="495">
        <f>TRUNC(1.56,2)</f>
        <v>1.56</v>
      </c>
      <c r="H594" s="219">
        <f t="shared" si="27"/>
        <v>0.03</v>
      </c>
    </row>
    <row r="595" spans="1:8" ht="24" x14ac:dyDescent="0.2">
      <c r="A595" s="47"/>
      <c r="B595" s="492"/>
      <c r="C595" s="493" t="s">
        <v>1275</v>
      </c>
      <c r="D595" s="494" t="s">
        <v>219</v>
      </c>
      <c r="E595" s="495" t="s">
        <v>22</v>
      </c>
      <c r="F595" s="495">
        <v>1.2E-2</v>
      </c>
      <c r="G595" s="495">
        <f>TRUNC(46.52,2)</f>
        <v>46.52</v>
      </c>
      <c r="H595" s="219">
        <f t="shared" si="27"/>
        <v>0.55000000000000004</v>
      </c>
    </row>
    <row r="596" spans="1:8" ht="24" x14ac:dyDescent="0.2">
      <c r="A596" s="47"/>
      <c r="B596" s="492"/>
      <c r="C596" s="493" t="s">
        <v>1314</v>
      </c>
      <c r="D596" s="494" t="s">
        <v>269</v>
      </c>
      <c r="E596" s="495" t="s">
        <v>22</v>
      </c>
      <c r="F596" s="495">
        <v>1</v>
      </c>
      <c r="G596" s="495">
        <f>TRUNC(2.03,2)</f>
        <v>2.0299999999999998</v>
      </c>
      <c r="H596" s="219">
        <f t="shared" si="27"/>
        <v>2.0299999999999998</v>
      </c>
    </row>
    <row r="597" spans="1:8" x14ac:dyDescent="0.2">
      <c r="A597" s="47"/>
      <c r="B597" s="492"/>
      <c r="C597" s="493" t="s">
        <v>1277</v>
      </c>
      <c r="D597" s="494" t="s">
        <v>223</v>
      </c>
      <c r="E597" s="495" t="s">
        <v>22</v>
      </c>
      <c r="F597" s="495">
        <v>1.0999999999999999E-2</v>
      </c>
      <c r="G597" s="495">
        <f>TRUNC(53.56,2)</f>
        <v>53.56</v>
      </c>
      <c r="H597" s="219">
        <f t="shared" si="27"/>
        <v>0.57999999999999996</v>
      </c>
    </row>
    <row r="598" spans="1:8" ht="24" x14ac:dyDescent="0.2">
      <c r="A598" s="47"/>
      <c r="B598" s="492"/>
      <c r="C598" s="493" t="s">
        <v>1199</v>
      </c>
      <c r="D598" s="494" t="s">
        <v>224</v>
      </c>
      <c r="E598" s="495" t="s">
        <v>37</v>
      </c>
      <c r="F598" s="495">
        <v>0.16</v>
      </c>
      <c r="G598" s="495">
        <f>TRUNC(27.24,2)</f>
        <v>27.24</v>
      </c>
      <c r="H598" s="219">
        <f t="shared" si="27"/>
        <v>4.3499999999999996</v>
      </c>
    </row>
    <row r="599" spans="1:8" ht="24" x14ac:dyDescent="0.2">
      <c r="A599" s="47"/>
      <c r="B599" s="492"/>
      <c r="C599" s="493" t="s">
        <v>1278</v>
      </c>
      <c r="D599" s="494" t="s">
        <v>225</v>
      </c>
      <c r="E599" s="495" t="s">
        <v>37</v>
      </c>
      <c r="F599" s="495">
        <v>0.16</v>
      </c>
      <c r="G599" s="495">
        <f>TRUNC(21.21,2)</f>
        <v>21.21</v>
      </c>
      <c r="H599" s="219">
        <f t="shared" si="27"/>
        <v>3.39</v>
      </c>
    </row>
    <row r="600" spans="1:8" x14ac:dyDescent="0.2">
      <c r="A600" s="47"/>
      <c r="B600" s="492"/>
      <c r="C600" s="493"/>
      <c r="D600" s="494"/>
      <c r="E600" s="495"/>
      <c r="F600" s="495" t="s">
        <v>38</v>
      </c>
      <c r="G600" s="495"/>
      <c r="H600" s="219">
        <f>TRUNC(SUM(H594:H599),2)</f>
        <v>10.93</v>
      </c>
    </row>
    <row r="601" spans="1:8" ht="16.5" thickBot="1" x14ac:dyDescent="0.25">
      <c r="A601" s="47"/>
      <c r="B601" s="492"/>
      <c r="C601" s="575"/>
      <c r="D601" s="576"/>
      <c r="E601" s="577"/>
      <c r="F601" s="577"/>
      <c r="G601" s="577"/>
      <c r="H601" s="77"/>
    </row>
    <row r="602" spans="1:8" ht="36" x14ac:dyDescent="0.2">
      <c r="A602" s="47"/>
      <c r="B602" s="544"/>
      <c r="C602" s="535" t="s">
        <v>610</v>
      </c>
      <c r="D602" s="553" t="s">
        <v>312</v>
      </c>
      <c r="E602" s="547" t="s">
        <v>22</v>
      </c>
      <c r="F602" s="547">
        <v>1</v>
      </c>
      <c r="G602" s="547">
        <f>TRUNC(H604,2)</f>
        <v>3.21</v>
      </c>
      <c r="H602" s="378">
        <f>TRUNC(F602*G602,2)</f>
        <v>3.21</v>
      </c>
    </row>
    <row r="603" spans="1:8" ht="24" x14ac:dyDescent="0.2">
      <c r="A603" s="47"/>
      <c r="B603" s="544"/>
      <c r="C603" s="528" t="s">
        <v>289</v>
      </c>
      <c r="D603" s="494" t="s">
        <v>290</v>
      </c>
      <c r="E603" s="495" t="s">
        <v>22</v>
      </c>
      <c r="F603" s="495">
        <v>1</v>
      </c>
      <c r="G603" s="495">
        <f>TRUNC(3.2192,2)</f>
        <v>3.21</v>
      </c>
      <c r="H603" s="379">
        <f>TRUNC(F603*G603,2)</f>
        <v>3.21</v>
      </c>
    </row>
    <row r="604" spans="1:8" x14ac:dyDescent="0.2">
      <c r="A604" s="47"/>
      <c r="B604" s="544"/>
      <c r="C604" s="528"/>
      <c r="D604" s="494"/>
      <c r="E604" s="495"/>
      <c r="F604" s="495" t="s">
        <v>38</v>
      </c>
      <c r="G604" s="495"/>
      <c r="H604" s="379">
        <f>TRUNC(SUM(H603:H603),2)</f>
        <v>3.21</v>
      </c>
    </row>
    <row r="605" spans="1:8" ht="12" customHeight="1" x14ac:dyDescent="0.2">
      <c r="A605" s="47"/>
      <c r="B605" s="544"/>
      <c r="C605" s="558"/>
      <c r="D605" s="552" t="s">
        <v>609</v>
      </c>
      <c r="E605" s="552"/>
      <c r="F605" s="552"/>
      <c r="G605" s="552"/>
      <c r="H605" s="386"/>
    </row>
    <row r="606" spans="1:8" ht="12" customHeight="1" x14ac:dyDescent="0.2">
      <c r="A606" s="47"/>
      <c r="B606" s="544"/>
      <c r="C606" s="558" t="s">
        <v>35</v>
      </c>
      <c r="D606" s="516" t="s">
        <v>36</v>
      </c>
      <c r="E606" s="552" t="s">
        <v>37</v>
      </c>
      <c r="F606" s="552">
        <v>0.13</v>
      </c>
      <c r="G606" s="552">
        <v>15.09</v>
      </c>
      <c r="H606" s="379">
        <f>TRUNC(F606*G606,2)</f>
        <v>1.96</v>
      </c>
    </row>
    <row r="607" spans="1:8" ht="12" customHeight="1" x14ac:dyDescent="0.2">
      <c r="A607" s="47"/>
      <c r="B607" s="544"/>
      <c r="C607" s="558" t="s">
        <v>209</v>
      </c>
      <c r="D607" s="516" t="s">
        <v>210</v>
      </c>
      <c r="E607" s="552" t="s">
        <v>37</v>
      </c>
      <c r="F607" s="552">
        <v>0.13</v>
      </c>
      <c r="G607" s="552">
        <v>20.83</v>
      </c>
      <c r="H607" s="379">
        <f>TRUNC(F607*G607,2)</f>
        <v>2.7</v>
      </c>
    </row>
    <row r="608" spans="1:8" x14ac:dyDescent="0.2">
      <c r="A608" s="47"/>
      <c r="B608" s="544"/>
      <c r="C608" s="558"/>
      <c r="D608" s="516"/>
      <c r="E608" s="552"/>
      <c r="F608" s="495" t="s">
        <v>38</v>
      </c>
      <c r="G608" s="552"/>
      <c r="H608" s="386">
        <f>SUM(H606:H607)</f>
        <v>4.66</v>
      </c>
    </row>
    <row r="609" spans="1:8" x14ac:dyDescent="0.2">
      <c r="A609" s="47"/>
      <c r="B609" s="544"/>
      <c r="C609" s="578"/>
      <c r="D609" s="542"/>
      <c r="E609" s="579"/>
      <c r="F609" s="579"/>
      <c r="G609" s="579"/>
      <c r="H609" s="386"/>
    </row>
    <row r="610" spans="1:8" ht="18.75" x14ac:dyDescent="0.2">
      <c r="A610" s="47"/>
      <c r="B610" s="544" t="s">
        <v>1090</v>
      </c>
      <c r="C610" s="578"/>
      <c r="D610" s="580" t="s">
        <v>297</v>
      </c>
      <c r="E610" s="581"/>
      <c r="F610" s="581"/>
      <c r="G610" s="581"/>
      <c r="H610" s="392">
        <f>G602+H608</f>
        <v>7.87</v>
      </c>
    </row>
    <row r="611" spans="1:8" ht="16.5" thickBot="1" x14ac:dyDescent="0.25">
      <c r="A611" s="47"/>
      <c r="B611" s="544"/>
      <c r="C611" s="582"/>
      <c r="D611" s="583"/>
      <c r="E611" s="584"/>
      <c r="F611" s="584"/>
      <c r="G611" s="584"/>
      <c r="H611" s="393"/>
    </row>
    <row r="612" spans="1:8" ht="16.5" thickBot="1" x14ac:dyDescent="0.25">
      <c r="A612" s="47"/>
      <c r="B612" s="492"/>
      <c r="C612" s="575"/>
      <c r="D612" s="576"/>
      <c r="E612" s="577"/>
      <c r="F612" s="577"/>
      <c r="G612" s="577"/>
      <c r="H612" s="77"/>
    </row>
    <row r="613" spans="1:8" ht="45.75" customHeight="1" x14ac:dyDescent="0.2">
      <c r="A613" s="47"/>
      <c r="B613" s="544"/>
      <c r="C613" s="535" t="s">
        <v>310</v>
      </c>
      <c r="D613" s="553" t="s">
        <v>1599</v>
      </c>
      <c r="E613" s="585" t="s">
        <v>22</v>
      </c>
      <c r="F613" s="585">
        <v>1</v>
      </c>
      <c r="G613" s="585">
        <f>TRUNC(H616,2)</f>
        <v>1.0900000000000001</v>
      </c>
      <c r="H613" s="378">
        <f>TRUNC(F613*G613,2)</f>
        <v>1.0900000000000001</v>
      </c>
    </row>
    <row r="614" spans="1:8" ht="24" x14ac:dyDescent="0.2">
      <c r="A614" s="47"/>
      <c r="B614" s="544"/>
      <c r="C614" s="559" t="s">
        <v>271</v>
      </c>
      <c r="D614" s="494" t="s">
        <v>272</v>
      </c>
      <c r="E614" s="565" t="s">
        <v>22</v>
      </c>
      <c r="F614" s="565">
        <v>0</v>
      </c>
      <c r="G614" s="565">
        <f>TRUNC(0.3085,2)</f>
        <v>0.3</v>
      </c>
      <c r="H614" s="379">
        <f>TRUNC(F614*G614,2)</f>
        <v>0</v>
      </c>
    </row>
    <row r="615" spans="1:8" ht="12" customHeight="1" x14ac:dyDescent="0.2">
      <c r="A615" s="47"/>
      <c r="B615" s="544"/>
      <c r="C615" s="528" t="s">
        <v>51</v>
      </c>
      <c r="D615" s="394" t="s">
        <v>311</v>
      </c>
      <c r="E615" s="495" t="s">
        <v>22</v>
      </c>
      <c r="F615" s="495">
        <v>1</v>
      </c>
      <c r="G615" s="495">
        <v>1.0900000000000001</v>
      </c>
      <c r="H615" s="379">
        <f>TRUNC(F615*G615,2)</f>
        <v>1.0900000000000001</v>
      </c>
    </row>
    <row r="616" spans="1:8" x14ac:dyDescent="0.2">
      <c r="A616" s="47"/>
      <c r="B616" s="544"/>
      <c r="C616" s="559"/>
      <c r="D616" s="494"/>
      <c r="E616" s="565"/>
      <c r="F616" s="565" t="s">
        <v>38</v>
      </c>
      <c r="G616" s="565"/>
      <c r="H616" s="379">
        <f>TRUNC(SUM(H614:H615),2)</f>
        <v>1.0900000000000001</v>
      </c>
    </row>
    <row r="617" spans="1:8" x14ac:dyDescent="0.2">
      <c r="A617" s="47"/>
      <c r="B617" s="544"/>
      <c r="C617" s="559"/>
      <c r="D617" s="495" t="s">
        <v>609</v>
      </c>
      <c r="E617" s="565"/>
      <c r="F617" s="565"/>
      <c r="G617" s="565"/>
      <c r="H617" s="379"/>
    </row>
    <row r="618" spans="1:8" ht="24" x14ac:dyDescent="0.2">
      <c r="A618" s="47"/>
      <c r="B618" s="544"/>
      <c r="C618" s="558" t="s">
        <v>35</v>
      </c>
      <c r="D618" s="494" t="s">
        <v>36</v>
      </c>
      <c r="E618" s="565" t="s">
        <v>37</v>
      </c>
      <c r="F618" s="565">
        <v>0.13</v>
      </c>
      <c r="G618" s="565">
        <v>15.09</v>
      </c>
      <c r="H618" s="586">
        <f>F618*G618</f>
        <v>1.9617</v>
      </c>
    </row>
    <row r="619" spans="1:8" ht="24" x14ac:dyDescent="0.2">
      <c r="A619" s="47"/>
      <c r="B619" s="544"/>
      <c r="C619" s="558" t="s">
        <v>209</v>
      </c>
      <c r="D619" s="494" t="s">
        <v>210</v>
      </c>
      <c r="E619" s="565" t="s">
        <v>37</v>
      </c>
      <c r="F619" s="565">
        <v>0.13</v>
      </c>
      <c r="G619" s="565">
        <v>20.83</v>
      </c>
      <c r="H619" s="586">
        <f>F619*G619</f>
        <v>2.7079</v>
      </c>
    </row>
    <row r="620" spans="1:8" x14ac:dyDescent="0.2">
      <c r="A620" s="47"/>
      <c r="B620" s="544"/>
      <c r="C620" s="559"/>
      <c r="D620" s="564"/>
      <c r="E620" s="565"/>
      <c r="F620" s="565" t="s">
        <v>38</v>
      </c>
      <c r="G620" s="565"/>
      <c r="H620" s="395">
        <f>SUM(H618:H619)</f>
        <v>4.6696</v>
      </c>
    </row>
    <row r="621" spans="1:8" x14ac:dyDescent="0.2">
      <c r="A621" s="47"/>
      <c r="B621" s="551"/>
      <c r="C621" s="578"/>
      <c r="D621" s="542"/>
      <c r="E621" s="579"/>
      <c r="F621" s="579"/>
      <c r="G621" s="579"/>
      <c r="H621" s="386"/>
    </row>
    <row r="622" spans="1:8" ht="18.75" x14ac:dyDescent="0.2">
      <c r="A622" s="47"/>
      <c r="B622" s="551" t="s">
        <v>1091</v>
      </c>
      <c r="C622" s="578"/>
      <c r="D622" s="587" t="s">
        <v>297</v>
      </c>
      <c r="E622" s="581"/>
      <c r="F622" s="581"/>
      <c r="G622" s="581"/>
      <c r="H622" s="392">
        <f>G613+H620</f>
        <v>5.7595999999999998</v>
      </c>
    </row>
    <row r="623" spans="1:8" ht="16.5" thickBot="1" x14ac:dyDescent="0.25">
      <c r="A623" s="47"/>
      <c r="B623" s="551"/>
      <c r="C623" s="582"/>
      <c r="D623" s="583"/>
      <c r="E623" s="584"/>
      <c r="F623" s="584"/>
      <c r="G623" s="584"/>
      <c r="H623" s="393"/>
    </row>
    <row r="624" spans="1:8" ht="16.5" thickBot="1" x14ac:dyDescent="0.25">
      <c r="A624" s="47"/>
      <c r="B624" s="492"/>
      <c r="C624" s="523"/>
      <c r="D624" s="545"/>
      <c r="E624" s="546"/>
      <c r="F624" s="546"/>
      <c r="G624" s="546"/>
      <c r="H624" s="77"/>
    </row>
    <row r="625" spans="1:8" ht="36" x14ac:dyDescent="0.2">
      <c r="A625" s="47"/>
      <c r="B625" s="554"/>
      <c r="C625" s="509" t="s">
        <v>611</v>
      </c>
      <c r="D625" s="516" t="s">
        <v>313</v>
      </c>
      <c r="E625" s="547" t="s">
        <v>22</v>
      </c>
      <c r="F625" s="547">
        <v>1</v>
      </c>
      <c r="G625" s="547">
        <f>TRUNC(0.3085,2)</f>
        <v>0.3</v>
      </c>
      <c r="H625" s="378">
        <f>TRUNC(F625*G625,2)</f>
        <v>0.3</v>
      </c>
    </row>
    <row r="626" spans="1:8" ht="24" x14ac:dyDescent="0.2">
      <c r="A626" s="47"/>
      <c r="B626" s="554"/>
      <c r="C626" s="528" t="s">
        <v>271</v>
      </c>
      <c r="D626" s="494" t="s">
        <v>272</v>
      </c>
      <c r="E626" s="495" t="s">
        <v>22</v>
      </c>
      <c r="F626" s="495">
        <v>1</v>
      </c>
      <c r="G626" s="495">
        <f>TRUNC(0.3085,2)</f>
        <v>0.3</v>
      </c>
      <c r="H626" s="379">
        <f>TRUNC(F626*G626,2)</f>
        <v>0.3</v>
      </c>
    </row>
    <row r="627" spans="1:8" x14ac:dyDescent="0.2">
      <c r="A627" s="47"/>
      <c r="B627" s="554"/>
      <c r="C627" s="528"/>
      <c r="D627" s="494"/>
      <c r="E627" s="495"/>
      <c r="F627" s="495" t="s">
        <v>38</v>
      </c>
      <c r="G627" s="495"/>
      <c r="H627" s="379">
        <f>TRUNC(SUM(H626:H626),2)</f>
        <v>0.3</v>
      </c>
    </row>
    <row r="628" spans="1:8" ht="24" x14ac:dyDescent="0.2">
      <c r="A628" s="47"/>
      <c r="B628" s="554"/>
      <c r="C628" s="558" t="s">
        <v>35</v>
      </c>
      <c r="D628" s="516" t="s">
        <v>36</v>
      </c>
      <c r="E628" s="579" t="s">
        <v>37</v>
      </c>
      <c r="F628" s="579">
        <v>0.13</v>
      </c>
      <c r="G628" s="579">
        <v>15.09</v>
      </c>
      <c r="H628" s="588">
        <f>F628*G628</f>
        <v>1.9617</v>
      </c>
    </row>
    <row r="629" spans="1:8" ht="12" customHeight="1" x14ac:dyDescent="0.2">
      <c r="A629" s="47"/>
      <c r="B629" s="554"/>
      <c r="C629" s="558" t="s">
        <v>209</v>
      </c>
      <c r="D629" s="516" t="s">
        <v>210</v>
      </c>
      <c r="E629" s="579" t="s">
        <v>37</v>
      </c>
      <c r="F629" s="579">
        <v>0.13</v>
      </c>
      <c r="G629" s="579">
        <v>20.83</v>
      </c>
      <c r="H629" s="588">
        <f>F629*G629</f>
        <v>2.7079</v>
      </c>
    </row>
    <row r="630" spans="1:8" x14ac:dyDescent="0.2">
      <c r="A630" s="47"/>
      <c r="B630" s="554"/>
      <c r="C630" s="578"/>
      <c r="D630" s="542"/>
      <c r="E630" s="579"/>
      <c r="F630" s="579" t="s">
        <v>38</v>
      </c>
      <c r="G630" s="579"/>
      <c r="H630" s="396">
        <f>SUM(H628:H629)</f>
        <v>4.6696</v>
      </c>
    </row>
    <row r="631" spans="1:8" x14ac:dyDescent="0.2">
      <c r="A631" s="47"/>
      <c r="B631" s="554"/>
      <c r="C631" s="578"/>
      <c r="D631" s="542"/>
      <c r="E631" s="579"/>
      <c r="F631" s="579"/>
      <c r="G631" s="579"/>
      <c r="H631" s="386"/>
    </row>
    <row r="632" spans="1:8" ht="18.75" x14ac:dyDescent="0.2">
      <c r="A632" s="47"/>
      <c r="B632" s="554" t="s">
        <v>1092</v>
      </c>
      <c r="C632" s="578"/>
      <c r="D632" s="587" t="s">
        <v>297</v>
      </c>
      <c r="E632" s="581"/>
      <c r="F632" s="581"/>
      <c r="G632" s="581"/>
      <c r="H632" s="392">
        <f>H627+H630</f>
        <v>4.9695999999999998</v>
      </c>
    </row>
    <row r="633" spans="1:8" ht="16.5" thickBot="1" x14ac:dyDescent="0.25">
      <c r="A633" s="47"/>
      <c r="B633" s="554"/>
      <c r="C633" s="574"/>
      <c r="D633" s="589"/>
      <c r="E633" s="590"/>
      <c r="F633" s="590"/>
      <c r="G633" s="590"/>
      <c r="H633" s="393"/>
    </row>
    <row r="634" spans="1:8" x14ac:dyDescent="0.2">
      <c r="A634" s="47"/>
      <c r="B634" s="571"/>
      <c r="C634" s="523"/>
      <c r="D634" s="545"/>
      <c r="E634" s="546"/>
      <c r="F634" s="546"/>
      <c r="G634" s="546"/>
      <c r="H634" s="77"/>
    </row>
    <row r="635" spans="1:8" ht="36" x14ac:dyDescent="0.2">
      <c r="A635" s="47"/>
      <c r="B635" s="556" t="s">
        <v>1093</v>
      </c>
      <c r="C635" s="509" t="s">
        <v>318</v>
      </c>
      <c r="D635" s="516" t="s">
        <v>1600</v>
      </c>
      <c r="E635" s="552" t="s">
        <v>22</v>
      </c>
      <c r="F635" s="552">
        <v>1</v>
      </c>
      <c r="G635" s="552">
        <f>TRUNC(H643,2)</f>
        <v>10.71</v>
      </c>
      <c r="H635" s="62">
        <f t="shared" ref="H635:H642" si="28">TRUNC(F635*G635,2)</f>
        <v>10.71</v>
      </c>
    </row>
    <row r="636" spans="1:8" x14ac:dyDescent="0.2">
      <c r="A636" s="47"/>
      <c r="B636" s="556"/>
      <c r="C636" s="509" t="s">
        <v>1274</v>
      </c>
      <c r="D636" s="516" t="s">
        <v>216</v>
      </c>
      <c r="E636" s="552" t="s">
        <v>22</v>
      </c>
      <c r="F636" s="552">
        <v>4.2999999999999997E-2</v>
      </c>
      <c r="G636" s="552">
        <f>TRUNC(1.56,2)</f>
        <v>1.56</v>
      </c>
      <c r="H636" s="62">
        <f t="shared" si="28"/>
        <v>0.06</v>
      </c>
    </row>
    <row r="637" spans="1:8" ht="24" x14ac:dyDescent="0.2">
      <c r="A637" s="47"/>
      <c r="B637" s="556"/>
      <c r="C637" s="509" t="s">
        <v>1275</v>
      </c>
      <c r="D637" s="516" t="s">
        <v>219</v>
      </c>
      <c r="E637" s="552" t="s">
        <v>22</v>
      </c>
      <c r="F637" s="552">
        <v>6.0000000000000001E-3</v>
      </c>
      <c r="G637" s="552">
        <f>TRUNC(46.52,2)</f>
        <v>46.52</v>
      </c>
      <c r="H637" s="62">
        <f t="shared" si="28"/>
        <v>0.27</v>
      </c>
    </row>
    <row r="638" spans="1:8" ht="24" x14ac:dyDescent="0.2">
      <c r="A638" s="47"/>
      <c r="B638" s="556"/>
      <c r="C638" s="509" t="s">
        <v>1315</v>
      </c>
      <c r="D638" s="516" t="s">
        <v>314</v>
      </c>
      <c r="E638" s="552" t="s">
        <v>22</v>
      </c>
      <c r="F638" s="552">
        <v>0</v>
      </c>
      <c r="G638" s="552">
        <f>TRUNC(3.2,2)</f>
        <v>3.2</v>
      </c>
      <c r="H638" s="62">
        <f t="shared" si="28"/>
        <v>0</v>
      </c>
    </row>
    <row r="639" spans="1:8" ht="12" customHeight="1" x14ac:dyDescent="0.2">
      <c r="A639" s="47"/>
      <c r="B639" s="556"/>
      <c r="C639" s="509" t="s">
        <v>51</v>
      </c>
      <c r="D639" s="397" t="s">
        <v>319</v>
      </c>
      <c r="E639" s="591" t="s">
        <v>22</v>
      </c>
      <c r="F639" s="591">
        <v>1</v>
      </c>
      <c r="G639" s="591">
        <v>5.9</v>
      </c>
      <c r="H639" s="341">
        <f t="shared" si="28"/>
        <v>5.9</v>
      </c>
    </row>
    <row r="640" spans="1:8" x14ac:dyDescent="0.2">
      <c r="A640" s="47"/>
      <c r="B640" s="556"/>
      <c r="C640" s="509" t="s">
        <v>1277</v>
      </c>
      <c r="D640" s="516" t="s">
        <v>223</v>
      </c>
      <c r="E640" s="552" t="s">
        <v>22</v>
      </c>
      <c r="F640" s="552">
        <v>6.0000000000000001E-3</v>
      </c>
      <c r="G640" s="552">
        <f>TRUNC(53.56,2)</f>
        <v>53.56</v>
      </c>
      <c r="H640" s="62">
        <f t="shared" si="28"/>
        <v>0.32</v>
      </c>
    </row>
    <row r="641" spans="1:8" ht="24" x14ac:dyDescent="0.2">
      <c r="A641" s="47"/>
      <c r="B641" s="556"/>
      <c r="C641" s="509" t="s">
        <v>1199</v>
      </c>
      <c r="D641" s="516" t="s">
        <v>224</v>
      </c>
      <c r="E641" s="552" t="s">
        <v>37</v>
      </c>
      <c r="F641" s="552">
        <v>8.5999999999999993E-2</v>
      </c>
      <c r="G641" s="552">
        <f>TRUNC(27.24,2)</f>
        <v>27.24</v>
      </c>
      <c r="H641" s="62">
        <f t="shared" si="28"/>
        <v>2.34</v>
      </c>
    </row>
    <row r="642" spans="1:8" ht="24" x14ac:dyDescent="0.2">
      <c r="A642" s="47"/>
      <c r="B642" s="556"/>
      <c r="C642" s="509" t="s">
        <v>1278</v>
      </c>
      <c r="D642" s="516" t="s">
        <v>225</v>
      </c>
      <c r="E642" s="552" t="s">
        <v>37</v>
      </c>
      <c r="F642" s="552">
        <v>8.5999999999999993E-2</v>
      </c>
      <c r="G642" s="552">
        <f>TRUNC(21.21,2)</f>
        <v>21.21</v>
      </c>
      <c r="H642" s="62">
        <f t="shared" si="28"/>
        <v>1.82</v>
      </c>
    </row>
    <row r="643" spans="1:8" x14ac:dyDescent="0.2">
      <c r="A643" s="47"/>
      <c r="B643" s="556"/>
      <c r="C643" s="509"/>
      <c r="D643" s="516"/>
      <c r="E643" s="552"/>
      <c r="F643" s="552" t="s">
        <v>38</v>
      </c>
      <c r="G643" s="552"/>
      <c r="H643" s="62">
        <f>TRUNC(SUM(H636:H642),2)</f>
        <v>10.71</v>
      </c>
    </row>
    <row r="644" spans="1:8" ht="36" x14ac:dyDescent="0.2">
      <c r="A644" s="47"/>
      <c r="B644" s="556" t="s">
        <v>1094</v>
      </c>
      <c r="C644" s="509" t="s">
        <v>1316</v>
      </c>
      <c r="D644" s="516" t="s">
        <v>316</v>
      </c>
      <c r="E644" s="552" t="s">
        <v>22</v>
      </c>
      <c r="F644" s="552">
        <v>1</v>
      </c>
      <c r="G644" s="552">
        <f>TRUNC(H651,2)</f>
        <v>9.86</v>
      </c>
      <c r="H644" s="62">
        <f t="shared" ref="H644:H650" si="29">TRUNC(F644*G644,2)</f>
        <v>9.86</v>
      </c>
    </row>
    <row r="645" spans="1:8" x14ac:dyDescent="0.2">
      <c r="A645" s="47"/>
      <c r="B645" s="556"/>
      <c r="C645" s="509" t="s">
        <v>1274</v>
      </c>
      <c r="D645" s="516" t="s">
        <v>216</v>
      </c>
      <c r="E645" s="552" t="s">
        <v>22</v>
      </c>
      <c r="F645" s="552">
        <v>0.05</v>
      </c>
      <c r="G645" s="552">
        <f>TRUNC(1.56,2)</f>
        <v>1.56</v>
      </c>
      <c r="H645" s="62">
        <f t="shared" si="29"/>
        <v>7.0000000000000007E-2</v>
      </c>
    </row>
    <row r="646" spans="1:8" ht="24" x14ac:dyDescent="0.2">
      <c r="A646" s="47"/>
      <c r="B646" s="556"/>
      <c r="C646" s="509" t="s">
        <v>1275</v>
      </c>
      <c r="D646" s="516" t="s">
        <v>219</v>
      </c>
      <c r="E646" s="552" t="s">
        <v>22</v>
      </c>
      <c r="F646" s="552">
        <v>8.0000000000000002E-3</v>
      </c>
      <c r="G646" s="552">
        <f>TRUNC(46.52,2)</f>
        <v>46.52</v>
      </c>
      <c r="H646" s="62">
        <f t="shared" si="29"/>
        <v>0.37</v>
      </c>
    </row>
    <row r="647" spans="1:8" ht="24" x14ac:dyDescent="0.2">
      <c r="A647" s="47"/>
      <c r="B647" s="556"/>
      <c r="C647" s="509" t="s">
        <v>1317</v>
      </c>
      <c r="D647" s="516" t="s">
        <v>317</v>
      </c>
      <c r="E647" s="552" t="s">
        <v>22</v>
      </c>
      <c r="F647" s="552">
        <v>1</v>
      </c>
      <c r="G647" s="552">
        <f>TRUNC(4.21,2)</f>
        <v>4.21</v>
      </c>
      <c r="H647" s="62">
        <f t="shared" si="29"/>
        <v>4.21</v>
      </c>
    </row>
    <row r="648" spans="1:8" x14ac:dyDescent="0.2">
      <c r="A648" s="47"/>
      <c r="B648" s="556"/>
      <c r="C648" s="509" t="s">
        <v>1277</v>
      </c>
      <c r="D648" s="516" t="s">
        <v>223</v>
      </c>
      <c r="E648" s="552" t="s">
        <v>22</v>
      </c>
      <c r="F648" s="552">
        <v>7.0000000000000001E-3</v>
      </c>
      <c r="G648" s="552">
        <f>TRUNC(53.56,2)</f>
        <v>53.56</v>
      </c>
      <c r="H648" s="62">
        <f t="shared" si="29"/>
        <v>0.37</v>
      </c>
    </row>
    <row r="649" spans="1:8" ht="24" x14ac:dyDescent="0.2">
      <c r="A649" s="47"/>
      <c r="B649" s="556"/>
      <c r="C649" s="509" t="s">
        <v>1199</v>
      </c>
      <c r="D649" s="516" t="s">
        <v>224</v>
      </c>
      <c r="E649" s="552" t="s">
        <v>37</v>
      </c>
      <c r="F649" s="552">
        <v>0.1</v>
      </c>
      <c r="G649" s="552">
        <f>TRUNC(27.24,2)</f>
        <v>27.24</v>
      </c>
      <c r="H649" s="62">
        <f t="shared" si="29"/>
        <v>2.72</v>
      </c>
    </row>
    <row r="650" spans="1:8" ht="24" x14ac:dyDescent="0.2">
      <c r="A650" s="47"/>
      <c r="B650" s="556"/>
      <c r="C650" s="509" t="s">
        <v>1278</v>
      </c>
      <c r="D650" s="516" t="s">
        <v>225</v>
      </c>
      <c r="E650" s="552" t="s">
        <v>37</v>
      </c>
      <c r="F650" s="552">
        <v>0.1</v>
      </c>
      <c r="G650" s="552">
        <f>TRUNC(21.21,2)</f>
        <v>21.21</v>
      </c>
      <c r="H650" s="62">
        <f t="shared" si="29"/>
        <v>2.12</v>
      </c>
    </row>
    <row r="651" spans="1:8" x14ac:dyDescent="0.2">
      <c r="A651" s="47"/>
      <c r="B651" s="556"/>
      <c r="C651" s="509"/>
      <c r="D651" s="516"/>
      <c r="E651" s="552"/>
      <c r="F651" s="552" t="s">
        <v>38</v>
      </c>
      <c r="G651" s="552"/>
      <c r="H651" s="62">
        <f>TRUNC(SUM(H645:H650),2)</f>
        <v>9.86</v>
      </c>
    </row>
    <row r="652" spans="1:8" ht="60" x14ac:dyDescent="0.2">
      <c r="A652" s="47"/>
      <c r="B652" s="556" t="s">
        <v>1095</v>
      </c>
      <c r="C652" s="509" t="s">
        <v>1318</v>
      </c>
      <c r="D652" s="516" t="s">
        <v>256</v>
      </c>
      <c r="E652" s="552" t="s">
        <v>22</v>
      </c>
      <c r="F652" s="552">
        <v>1</v>
      </c>
      <c r="G652" s="552">
        <f>TRUNC(H659,2)</f>
        <v>42.99</v>
      </c>
      <c r="H652" s="62">
        <f t="shared" ref="H652:H658" si="30">TRUNC(F652*G652,2)</f>
        <v>42.99</v>
      </c>
    </row>
    <row r="653" spans="1:8" x14ac:dyDescent="0.2">
      <c r="A653" s="47"/>
      <c r="B653" s="556"/>
      <c r="C653" s="509" t="s">
        <v>1274</v>
      </c>
      <c r="D653" s="516" t="s">
        <v>216</v>
      </c>
      <c r="E653" s="552" t="s">
        <v>22</v>
      </c>
      <c r="F653" s="552">
        <v>3.1E-2</v>
      </c>
      <c r="G653" s="552">
        <f>TRUNC(1.56,2)</f>
        <v>1.56</v>
      </c>
      <c r="H653" s="62">
        <f t="shared" si="30"/>
        <v>0.04</v>
      </c>
    </row>
    <row r="654" spans="1:8" ht="24" x14ac:dyDescent="0.2">
      <c r="A654" s="47"/>
      <c r="B654" s="556"/>
      <c r="C654" s="509" t="s">
        <v>1275</v>
      </c>
      <c r="D654" s="516" t="s">
        <v>219</v>
      </c>
      <c r="E654" s="552" t="s">
        <v>22</v>
      </c>
      <c r="F654" s="552">
        <v>5.1999999999999998E-2</v>
      </c>
      <c r="G654" s="552">
        <f>TRUNC(46.52,2)</f>
        <v>46.52</v>
      </c>
      <c r="H654" s="62">
        <f t="shared" si="30"/>
        <v>2.41</v>
      </c>
    </row>
    <row r="655" spans="1:8" x14ac:dyDescent="0.2">
      <c r="A655" s="47"/>
      <c r="B655" s="556"/>
      <c r="C655" s="509" t="s">
        <v>1319</v>
      </c>
      <c r="D655" s="516" t="s">
        <v>257</v>
      </c>
      <c r="E655" s="552" t="s">
        <v>22</v>
      </c>
      <c r="F655" s="552">
        <v>0.19400000000000001</v>
      </c>
      <c r="G655" s="552">
        <f>TRUNC(17,2)</f>
        <v>17</v>
      </c>
      <c r="H655" s="62">
        <f t="shared" si="30"/>
        <v>3.29</v>
      </c>
    </row>
    <row r="656" spans="1:8" ht="24" x14ac:dyDescent="0.2">
      <c r="A656" s="47"/>
      <c r="B656" s="556"/>
      <c r="C656" s="509" t="s">
        <v>1320</v>
      </c>
      <c r="D656" s="516" t="s">
        <v>258</v>
      </c>
      <c r="E656" s="552" t="s">
        <v>22</v>
      </c>
      <c r="F656" s="552">
        <v>1</v>
      </c>
      <c r="G656" s="552">
        <f>TRUNC(22.34,2)</f>
        <v>22.34</v>
      </c>
      <c r="H656" s="62">
        <f t="shared" si="30"/>
        <v>22.34</v>
      </c>
    </row>
    <row r="657" spans="1:8" ht="24" x14ac:dyDescent="0.2">
      <c r="A657" s="47"/>
      <c r="B657" s="556"/>
      <c r="C657" s="509" t="s">
        <v>1199</v>
      </c>
      <c r="D657" s="516" t="s">
        <v>224</v>
      </c>
      <c r="E657" s="552" t="s">
        <v>37</v>
      </c>
      <c r="F657" s="552">
        <v>0.308</v>
      </c>
      <c r="G657" s="552">
        <f>TRUNC(27.24,2)</f>
        <v>27.24</v>
      </c>
      <c r="H657" s="62">
        <f t="shared" si="30"/>
        <v>8.3800000000000008</v>
      </c>
    </row>
    <row r="658" spans="1:8" ht="24" x14ac:dyDescent="0.2">
      <c r="A658" s="47"/>
      <c r="B658" s="556"/>
      <c r="C658" s="509" t="s">
        <v>1278</v>
      </c>
      <c r="D658" s="516" t="s">
        <v>225</v>
      </c>
      <c r="E658" s="552" t="s">
        <v>37</v>
      </c>
      <c r="F658" s="552">
        <v>0.308</v>
      </c>
      <c r="G658" s="552">
        <f>TRUNC(21.21,2)</f>
        <v>21.21</v>
      </c>
      <c r="H658" s="62">
        <f t="shared" si="30"/>
        <v>6.53</v>
      </c>
    </row>
    <row r="659" spans="1:8" x14ac:dyDescent="0.2">
      <c r="A659" s="47"/>
      <c r="B659" s="556"/>
      <c r="C659" s="509"/>
      <c r="D659" s="516"/>
      <c r="E659" s="552"/>
      <c r="F659" s="552" t="s">
        <v>38</v>
      </c>
      <c r="G659" s="552"/>
      <c r="H659" s="62">
        <f>TRUNC(SUM(H653:H658),2)</f>
        <v>42.99</v>
      </c>
    </row>
    <row r="660" spans="1:8" ht="60" x14ac:dyDescent="0.2">
      <c r="A660" s="47"/>
      <c r="B660" s="556" t="s">
        <v>1096</v>
      </c>
      <c r="C660" s="509" t="s">
        <v>1321</v>
      </c>
      <c r="D660" s="516" t="s">
        <v>260</v>
      </c>
      <c r="E660" s="552" t="s">
        <v>22</v>
      </c>
      <c r="F660" s="552">
        <v>1</v>
      </c>
      <c r="G660" s="552">
        <f>TRUNC(H667,2)</f>
        <v>10.31</v>
      </c>
      <c r="H660" s="62">
        <f t="shared" ref="H660:H666" si="31">TRUNC(F660*G660,2)</f>
        <v>10.31</v>
      </c>
    </row>
    <row r="661" spans="1:8" x14ac:dyDescent="0.2">
      <c r="A661" s="47"/>
      <c r="B661" s="556"/>
      <c r="C661" s="509" t="s">
        <v>1274</v>
      </c>
      <c r="D661" s="516" t="s">
        <v>216</v>
      </c>
      <c r="E661" s="552" t="s">
        <v>22</v>
      </c>
      <c r="F661" s="552">
        <v>1.0999999999999999E-2</v>
      </c>
      <c r="G661" s="552">
        <f>TRUNC(1.56,2)</f>
        <v>1.56</v>
      </c>
      <c r="H661" s="62">
        <f t="shared" si="31"/>
        <v>0.01</v>
      </c>
    </row>
    <row r="662" spans="1:8" ht="24" x14ac:dyDescent="0.2">
      <c r="A662" s="47"/>
      <c r="B662" s="556"/>
      <c r="C662" s="509" t="s">
        <v>1275</v>
      </c>
      <c r="D662" s="516" t="s">
        <v>219</v>
      </c>
      <c r="E662" s="552" t="s">
        <v>22</v>
      </c>
      <c r="F662" s="552">
        <v>1.7999999999999999E-2</v>
      </c>
      <c r="G662" s="552">
        <f>TRUNC(46.52,2)</f>
        <v>46.52</v>
      </c>
      <c r="H662" s="62">
        <f t="shared" si="31"/>
        <v>0.83</v>
      </c>
    </row>
    <row r="663" spans="1:8" x14ac:dyDescent="0.2">
      <c r="A663" s="47"/>
      <c r="B663" s="556"/>
      <c r="C663" s="509" t="s">
        <v>1319</v>
      </c>
      <c r="D663" s="516" t="s">
        <v>257</v>
      </c>
      <c r="E663" s="552" t="s">
        <v>22</v>
      </c>
      <c r="F663" s="552">
        <v>7.0999999999999994E-2</v>
      </c>
      <c r="G663" s="552">
        <f>TRUNC(17,2)</f>
        <v>17</v>
      </c>
      <c r="H663" s="62">
        <f t="shared" si="31"/>
        <v>1.2</v>
      </c>
    </row>
    <row r="664" spans="1:8" ht="24" x14ac:dyDescent="0.2">
      <c r="A664" s="47"/>
      <c r="B664" s="556"/>
      <c r="C664" s="509" t="s">
        <v>1322</v>
      </c>
      <c r="D664" s="516" t="s">
        <v>261</v>
      </c>
      <c r="E664" s="552" t="s">
        <v>22</v>
      </c>
      <c r="F664" s="552">
        <v>1</v>
      </c>
      <c r="G664" s="552">
        <f>TRUNC(2.76,2)</f>
        <v>2.76</v>
      </c>
      <c r="H664" s="62">
        <f t="shared" si="31"/>
        <v>2.76</v>
      </c>
    </row>
    <row r="665" spans="1:8" ht="24" x14ac:dyDescent="0.2">
      <c r="A665" s="47"/>
      <c r="B665" s="556"/>
      <c r="C665" s="509" t="s">
        <v>1199</v>
      </c>
      <c r="D665" s="516" t="s">
        <v>224</v>
      </c>
      <c r="E665" s="552" t="s">
        <v>37</v>
      </c>
      <c r="F665" s="552">
        <v>0.114</v>
      </c>
      <c r="G665" s="552">
        <f>TRUNC(27.24,2)</f>
        <v>27.24</v>
      </c>
      <c r="H665" s="62">
        <f t="shared" si="31"/>
        <v>3.1</v>
      </c>
    </row>
    <row r="666" spans="1:8" ht="24" x14ac:dyDescent="0.2">
      <c r="A666" s="47"/>
      <c r="B666" s="556"/>
      <c r="C666" s="509" t="s">
        <v>1278</v>
      </c>
      <c r="D666" s="516" t="s">
        <v>225</v>
      </c>
      <c r="E666" s="552" t="s">
        <v>37</v>
      </c>
      <c r="F666" s="552">
        <v>0.114</v>
      </c>
      <c r="G666" s="552">
        <f>TRUNC(21.21,2)</f>
        <v>21.21</v>
      </c>
      <c r="H666" s="62">
        <f t="shared" si="31"/>
        <v>2.41</v>
      </c>
    </row>
    <row r="667" spans="1:8" x14ac:dyDescent="0.2">
      <c r="A667" s="47"/>
      <c r="B667" s="556"/>
      <c r="C667" s="509"/>
      <c r="D667" s="516"/>
      <c r="E667" s="552"/>
      <c r="F667" s="552" t="s">
        <v>38</v>
      </c>
      <c r="G667" s="552"/>
      <c r="H667" s="62">
        <f>TRUNC(SUM(H661:H666),2)</f>
        <v>10.31</v>
      </c>
    </row>
    <row r="668" spans="1:8" ht="48" x14ac:dyDescent="0.2">
      <c r="A668" s="47"/>
      <c r="B668" s="556" t="s">
        <v>1097</v>
      </c>
      <c r="C668" s="509" t="s">
        <v>1323</v>
      </c>
      <c r="D668" s="516" t="s">
        <v>274</v>
      </c>
      <c r="E668" s="552" t="s">
        <v>22</v>
      </c>
      <c r="F668" s="552">
        <v>1</v>
      </c>
      <c r="G668" s="552">
        <f>TRUNC(H675,2)</f>
        <v>6.2</v>
      </c>
      <c r="H668" s="62">
        <f t="shared" ref="H668:H674" si="32">TRUNC(F668*G668,2)</f>
        <v>6.2</v>
      </c>
    </row>
    <row r="669" spans="1:8" x14ac:dyDescent="0.2">
      <c r="A669" s="47"/>
      <c r="B669" s="556"/>
      <c r="C669" s="509" t="s">
        <v>1274</v>
      </c>
      <c r="D669" s="516" t="s">
        <v>216</v>
      </c>
      <c r="E669" s="552" t="s">
        <v>22</v>
      </c>
      <c r="F669" s="552">
        <v>0.05</v>
      </c>
      <c r="G669" s="552">
        <f>TRUNC(1.56,2)</f>
        <v>1.56</v>
      </c>
      <c r="H669" s="62">
        <f t="shared" si="32"/>
        <v>7.0000000000000007E-2</v>
      </c>
    </row>
    <row r="670" spans="1:8" ht="24" x14ac:dyDescent="0.2">
      <c r="A670" s="47"/>
      <c r="B670" s="556"/>
      <c r="C670" s="509" t="s">
        <v>1275</v>
      </c>
      <c r="D670" s="516" t="s">
        <v>219</v>
      </c>
      <c r="E670" s="552" t="s">
        <v>22</v>
      </c>
      <c r="F670" s="552">
        <v>8.0000000000000002E-3</v>
      </c>
      <c r="G670" s="552">
        <f>TRUNC(46.52,2)</f>
        <v>46.52</v>
      </c>
      <c r="H670" s="62">
        <f t="shared" si="32"/>
        <v>0.37</v>
      </c>
    </row>
    <row r="671" spans="1:8" x14ac:dyDescent="0.2">
      <c r="A671" s="47"/>
      <c r="B671" s="556"/>
      <c r="C671" s="509" t="s">
        <v>1277</v>
      </c>
      <c r="D671" s="516" t="s">
        <v>223</v>
      </c>
      <c r="E671" s="552" t="s">
        <v>22</v>
      </c>
      <c r="F671" s="552">
        <v>7.0000000000000001E-3</v>
      </c>
      <c r="G671" s="552">
        <f>TRUNC(53.56,2)</f>
        <v>53.56</v>
      </c>
      <c r="H671" s="62">
        <f t="shared" si="32"/>
        <v>0.37</v>
      </c>
    </row>
    <row r="672" spans="1:8" ht="24" x14ac:dyDescent="0.2">
      <c r="A672" s="47"/>
      <c r="B672" s="556"/>
      <c r="C672" s="509" t="s">
        <v>1324</v>
      </c>
      <c r="D672" s="516" t="s">
        <v>275</v>
      </c>
      <c r="E672" s="552" t="s">
        <v>22</v>
      </c>
      <c r="F672" s="552">
        <v>1</v>
      </c>
      <c r="G672" s="552">
        <f>TRUNC(0.55,2)</f>
        <v>0.55000000000000004</v>
      </c>
      <c r="H672" s="62">
        <f t="shared" si="32"/>
        <v>0.55000000000000004</v>
      </c>
    </row>
    <row r="673" spans="1:8" ht="24" x14ac:dyDescent="0.2">
      <c r="A673" s="47"/>
      <c r="B673" s="556"/>
      <c r="C673" s="509" t="s">
        <v>1199</v>
      </c>
      <c r="D673" s="516" t="s">
        <v>224</v>
      </c>
      <c r="E673" s="552" t="s">
        <v>37</v>
      </c>
      <c r="F673" s="552">
        <v>0.1</v>
      </c>
      <c r="G673" s="552">
        <f>TRUNC(27.24,2)</f>
        <v>27.24</v>
      </c>
      <c r="H673" s="62">
        <f t="shared" si="32"/>
        <v>2.72</v>
      </c>
    </row>
    <row r="674" spans="1:8" ht="24" x14ac:dyDescent="0.2">
      <c r="A674" s="47"/>
      <c r="B674" s="556"/>
      <c r="C674" s="509" t="s">
        <v>1278</v>
      </c>
      <c r="D674" s="516" t="s">
        <v>225</v>
      </c>
      <c r="E674" s="552" t="s">
        <v>37</v>
      </c>
      <c r="F674" s="552">
        <v>0.1</v>
      </c>
      <c r="G674" s="552">
        <f>TRUNC(21.21,2)</f>
        <v>21.21</v>
      </c>
      <c r="H674" s="62">
        <f t="shared" si="32"/>
        <v>2.12</v>
      </c>
    </row>
    <row r="675" spans="1:8" x14ac:dyDescent="0.2">
      <c r="A675" s="47"/>
      <c r="B675" s="556"/>
      <c r="C675" s="509"/>
      <c r="D675" s="516"/>
      <c r="E675" s="552"/>
      <c r="F675" s="552" t="s">
        <v>38</v>
      </c>
      <c r="G675" s="552"/>
      <c r="H675" s="62">
        <f>TRUNC(SUM(H669:H674),2)</f>
        <v>6.2</v>
      </c>
    </row>
    <row r="676" spans="1:8" ht="48" x14ac:dyDescent="0.2">
      <c r="A676" s="47"/>
      <c r="B676" s="556" t="s">
        <v>1098</v>
      </c>
      <c r="C676" s="509" t="s">
        <v>1325</v>
      </c>
      <c r="D676" s="516" t="s">
        <v>263</v>
      </c>
      <c r="E676" s="552" t="s">
        <v>22</v>
      </c>
      <c r="F676" s="552">
        <v>1</v>
      </c>
      <c r="G676" s="552">
        <f>TRUNC(H681,2)</f>
        <v>103.99</v>
      </c>
      <c r="H676" s="62">
        <f>TRUNC(F676*G676,2)</f>
        <v>103.99</v>
      </c>
    </row>
    <row r="677" spans="1:8" ht="24" x14ac:dyDescent="0.2">
      <c r="A677" s="47"/>
      <c r="B677" s="556"/>
      <c r="C677" s="509" t="s">
        <v>1326</v>
      </c>
      <c r="D677" s="516" t="s">
        <v>264</v>
      </c>
      <c r="E677" s="552" t="s">
        <v>22</v>
      </c>
      <c r="F677" s="552">
        <v>1</v>
      </c>
      <c r="G677" s="552">
        <f>TRUNC(65.57,2)</f>
        <v>65.569999999999993</v>
      </c>
      <c r="H677" s="62">
        <f>TRUNC(F677*G677,2)</f>
        <v>65.569999999999993</v>
      </c>
    </row>
    <row r="678" spans="1:8" x14ac:dyDescent="0.2">
      <c r="A678" s="47"/>
      <c r="B678" s="556"/>
      <c r="C678" s="509" t="s">
        <v>1327</v>
      </c>
      <c r="D678" s="516" t="s">
        <v>265</v>
      </c>
      <c r="E678" s="552" t="s">
        <v>22</v>
      </c>
      <c r="F678" s="552">
        <v>1.9E-2</v>
      </c>
      <c r="G678" s="552">
        <f>TRUNC(10.8,2)</f>
        <v>10.8</v>
      </c>
      <c r="H678" s="62">
        <f>TRUNC(F678*G678,2)</f>
        <v>0.2</v>
      </c>
    </row>
    <row r="679" spans="1:8" ht="24" x14ac:dyDescent="0.2">
      <c r="A679" s="47"/>
      <c r="B679" s="556"/>
      <c r="C679" s="509" t="s">
        <v>1199</v>
      </c>
      <c r="D679" s="516" t="s">
        <v>224</v>
      </c>
      <c r="E679" s="552" t="s">
        <v>37</v>
      </c>
      <c r="F679" s="552">
        <v>0.78900000000000003</v>
      </c>
      <c r="G679" s="552">
        <f>TRUNC(27.24,2)</f>
        <v>27.24</v>
      </c>
      <c r="H679" s="62">
        <f>TRUNC(F679*G679,2)</f>
        <v>21.49</v>
      </c>
    </row>
    <row r="680" spans="1:8" ht="24" x14ac:dyDescent="0.2">
      <c r="A680" s="47"/>
      <c r="B680" s="556"/>
      <c r="C680" s="509" t="s">
        <v>1278</v>
      </c>
      <c r="D680" s="516" t="s">
        <v>225</v>
      </c>
      <c r="E680" s="552" t="s">
        <v>37</v>
      </c>
      <c r="F680" s="552">
        <v>0.78900000000000003</v>
      </c>
      <c r="G680" s="552">
        <f>TRUNC(21.21,2)</f>
        <v>21.21</v>
      </c>
      <c r="H680" s="62">
        <f>TRUNC(F680*G680,2)</f>
        <v>16.73</v>
      </c>
    </row>
    <row r="681" spans="1:8" x14ac:dyDescent="0.2">
      <c r="A681" s="47"/>
      <c r="B681" s="556"/>
      <c r="C681" s="509"/>
      <c r="D681" s="516"/>
      <c r="E681" s="552"/>
      <c r="F681" s="552" t="s">
        <v>38</v>
      </c>
      <c r="G681" s="552"/>
      <c r="H681" s="62">
        <f>TRUNC(SUM(H677:H680),2)</f>
        <v>103.99</v>
      </c>
    </row>
    <row r="682" spans="1:8" ht="48" x14ac:dyDescent="0.2">
      <c r="A682" s="47"/>
      <c r="B682" s="556" t="s">
        <v>1099</v>
      </c>
      <c r="C682" s="509" t="s">
        <v>1328</v>
      </c>
      <c r="D682" s="516" t="s">
        <v>277</v>
      </c>
      <c r="E682" s="552" t="s">
        <v>22</v>
      </c>
      <c r="F682" s="552">
        <v>1</v>
      </c>
      <c r="G682" s="552">
        <f>TRUNC(H687,2)</f>
        <v>72.08</v>
      </c>
      <c r="H682" s="62">
        <f>TRUNC(F682*G682,2)</f>
        <v>72.08</v>
      </c>
    </row>
    <row r="683" spans="1:8" ht="24" x14ac:dyDescent="0.2">
      <c r="A683" s="47"/>
      <c r="B683" s="556"/>
      <c r="C683" s="509" t="s">
        <v>1329</v>
      </c>
      <c r="D683" s="516" t="s">
        <v>278</v>
      </c>
      <c r="E683" s="552" t="s">
        <v>22</v>
      </c>
      <c r="F683" s="552">
        <v>1</v>
      </c>
      <c r="G683" s="552">
        <f>TRUNC(58.9,2)</f>
        <v>58.9</v>
      </c>
      <c r="H683" s="62">
        <f>TRUNC(F683*G683,2)</f>
        <v>58.9</v>
      </c>
    </row>
    <row r="684" spans="1:8" x14ac:dyDescent="0.2">
      <c r="A684" s="47"/>
      <c r="B684" s="556"/>
      <c r="C684" s="509" t="s">
        <v>1327</v>
      </c>
      <c r="D684" s="516" t="s">
        <v>265</v>
      </c>
      <c r="E684" s="552" t="s">
        <v>22</v>
      </c>
      <c r="F684" s="552">
        <v>1.2999999999999999E-2</v>
      </c>
      <c r="G684" s="552">
        <f>TRUNC(10.8,2)</f>
        <v>10.8</v>
      </c>
      <c r="H684" s="62">
        <f>TRUNC(F684*G684,2)</f>
        <v>0.14000000000000001</v>
      </c>
    </row>
    <row r="685" spans="1:8" ht="24" x14ac:dyDescent="0.2">
      <c r="A685" s="47"/>
      <c r="B685" s="556"/>
      <c r="C685" s="509" t="s">
        <v>1199</v>
      </c>
      <c r="D685" s="516" t="s">
        <v>224</v>
      </c>
      <c r="E685" s="552" t="s">
        <v>37</v>
      </c>
      <c r="F685" s="552">
        <v>0.3</v>
      </c>
      <c r="G685" s="552">
        <f>TRUNC(27.24,2)</f>
        <v>27.24</v>
      </c>
      <c r="H685" s="62">
        <f>TRUNC(F685*G685,2)</f>
        <v>8.17</v>
      </c>
    </row>
    <row r="686" spans="1:8" ht="24" x14ac:dyDescent="0.2">
      <c r="A686" s="47"/>
      <c r="B686" s="556"/>
      <c r="C686" s="509" t="s">
        <v>1278</v>
      </c>
      <c r="D686" s="516" t="s">
        <v>225</v>
      </c>
      <c r="E686" s="552" t="s">
        <v>37</v>
      </c>
      <c r="F686" s="552">
        <v>0.23</v>
      </c>
      <c r="G686" s="552">
        <f>TRUNC(21.21,2)</f>
        <v>21.21</v>
      </c>
      <c r="H686" s="62">
        <f>TRUNC(F686*G686,2)</f>
        <v>4.87</v>
      </c>
    </row>
    <row r="687" spans="1:8" x14ac:dyDescent="0.2">
      <c r="A687" s="47"/>
      <c r="B687" s="556"/>
      <c r="C687" s="509"/>
      <c r="D687" s="516"/>
      <c r="E687" s="552"/>
      <c r="F687" s="552" t="s">
        <v>38</v>
      </c>
      <c r="G687" s="552"/>
      <c r="H687" s="62">
        <f>TRUNC(SUM(H683:H686),2)</f>
        <v>72.08</v>
      </c>
    </row>
    <row r="688" spans="1:8" ht="48" x14ac:dyDescent="0.2">
      <c r="A688" s="47"/>
      <c r="B688" s="556" t="s">
        <v>1100</v>
      </c>
      <c r="C688" s="509" t="s">
        <v>1330</v>
      </c>
      <c r="D688" s="516" t="s">
        <v>280</v>
      </c>
      <c r="E688" s="552" t="s">
        <v>22</v>
      </c>
      <c r="F688" s="552">
        <v>1</v>
      </c>
      <c r="G688" s="552">
        <f>TRUNC(H693,2)</f>
        <v>68.73</v>
      </c>
      <c r="H688" s="62">
        <f>TRUNC(F688*G688,2)</f>
        <v>68.73</v>
      </c>
    </row>
    <row r="689" spans="1:8" ht="24" x14ac:dyDescent="0.2">
      <c r="A689" s="47"/>
      <c r="B689" s="556"/>
      <c r="C689" s="509" t="s">
        <v>1331</v>
      </c>
      <c r="D689" s="516" t="s">
        <v>281</v>
      </c>
      <c r="E689" s="552" t="s">
        <v>22</v>
      </c>
      <c r="F689" s="552">
        <v>1</v>
      </c>
      <c r="G689" s="552">
        <f>TRUNC(55.55,2)</f>
        <v>55.55</v>
      </c>
      <c r="H689" s="62">
        <f>TRUNC(F689*G689,2)</f>
        <v>55.55</v>
      </c>
    </row>
    <row r="690" spans="1:8" x14ac:dyDescent="0.2">
      <c r="A690" s="47"/>
      <c r="B690" s="556"/>
      <c r="C690" s="509" t="s">
        <v>1327</v>
      </c>
      <c r="D690" s="516" t="s">
        <v>265</v>
      </c>
      <c r="E690" s="552" t="s">
        <v>22</v>
      </c>
      <c r="F690" s="552">
        <v>1.2999999999999999E-2</v>
      </c>
      <c r="G690" s="552">
        <f>TRUNC(10.8,2)</f>
        <v>10.8</v>
      </c>
      <c r="H690" s="62">
        <f>TRUNC(F690*G690,2)</f>
        <v>0.14000000000000001</v>
      </c>
    </row>
    <row r="691" spans="1:8" ht="24" x14ac:dyDescent="0.2">
      <c r="A691" s="47"/>
      <c r="B691" s="556"/>
      <c r="C691" s="509" t="s">
        <v>1199</v>
      </c>
      <c r="D691" s="516" t="s">
        <v>224</v>
      </c>
      <c r="E691" s="552" t="s">
        <v>37</v>
      </c>
      <c r="F691" s="552">
        <v>0.3</v>
      </c>
      <c r="G691" s="552">
        <f>TRUNC(27.24,2)</f>
        <v>27.24</v>
      </c>
      <c r="H691" s="62">
        <f>TRUNC(F691*G691,2)</f>
        <v>8.17</v>
      </c>
    </row>
    <row r="692" spans="1:8" ht="24" x14ac:dyDescent="0.2">
      <c r="A692" s="47"/>
      <c r="B692" s="556"/>
      <c r="C692" s="509" t="s">
        <v>1278</v>
      </c>
      <c r="D692" s="516" t="s">
        <v>225</v>
      </c>
      <c r="E692" s="552" t="s">
        <v>37</v>
      </c>
      <c r="F692" s="552">
        <v>0.23</v>
      </c>
      <c r="G692" s="552">
        <f>TRUNC(21.21,2)</f>
        <v>21.21</v>
      </c>
      <c r="H692" s="62">
        <f>TRUNC(F692*G692,2)</f>
        <v>4.87</v>
      </c>
    </row>
    <row r="693" spans="1:8" x14ac:dyDescent="0.2">
      <c r="A693" s="47"/>
      <c r="B693" s="556"/>
      <c r="C693" s="509"/>
      <c r="D693" s="516"/>
      <c r="E693" s="552"/>
      <c r="F693" s="552" t="s">
        <v>38</v>
      </c>
      <c r="G693" s="552"/>
      <c r="H693" s="62">
        <f>TRUNC(SUM(H689:H692),2)</f>
        <v>68.73</v>
      </c>
    </row>
    <row r="694" spans="1:8" ht="48" x14ac:dyDescent="0.2">
      <c r="A694" s="47"/>
      <c r="B694" s="556" t="s">
        <v>1101</v>
      </c>
      <c r="C694" s="509" t="s">
        <v>375</v>
      </c>
      <c r="D694" s="516" t="s">
        <v>612</v>
      </c>
      <c r="E694" s="552" t="s">
        <v>18</v>
      </c>
      <c r="F694" s="552">
        <v>1</v>
      </c>
      <c r="G694" s="552">
        <f>TRUNC(H698,2)</f>
        <v>19.05</v>
      </c>
      <c r="H694" s="62">
        <f>TRUNC(F694*G694,2)</f>
        <v>19.05</v>
      </c>
    </row>
    <row r="695" spans="1:8" ht="24" x14ac:dyDescent="0.2">
      <c r="A695" s="47"/>
      <c r="B695" s="556"/>
      <c r="C695" s="509" t="s">
        <v>35</v>
      </c>
      <c r="D695" s="516" t="s">
        <v>36</v>
      </c>
      <c r="E695" s="552" t="s">
        <v>37</v>
      </c>
      <c r="F695" s="552">
        <v>0.72099999999999997</v>
      </c>
      <c r="G695" s="552">
        <f>TRUNC(15.09,2)</f>
        <v>15.09</v>
      </c>
      <c r="H695" s="62">
        <f>TRUNC(F695*G695,2)</f>
        <v>10.87</v>
      </c>
    </row>
    <row r="696" spans="1:8" ht="24" x14ac:dyDescent="0.2">
      <c r="A696" s="47"/>
      <c r="B696" s="556"/>
      <c r="C696" s="509" t="s">
        <v>376</v>
      </c>
      <c r="D696" s="516" t="s">
        <v>377</v>
      </c>
      <c r="E696" s="552" t="s">
        <v>37</v>
      </c>
      <c r="F696" s="552">
        <v>0.36049999999999999</v>
      </c>
      <c r="G696" s="552">
        <f>TRUNC(20.83,2)</f>
        <v>20.83</v>
      </c>
      <c r="H696" s="62">
        <f>TRUNC(F696*G696,2)</f>
        <v>7.5</v>
      </c>
    </row>
    <row r="697" spans="1:8" ht="24" x14ac:dyDescent="0.2">
      <c r="A697" s="47"/>
      <c r="B697" s="556"/>
      <c r="C697" s="509" t="s">
        <v>188</v>
      </c>
      <c r="D697" s="516" t="s">
        <v>189</v>
      </c>
      <c r="E697" s="552" t="s">
        <v>19</v>
      </c>
      <c r="F697" s="552">
        <v>2.5000000000000001E-3</v>
      </c>
      <c r="G697" s="552">
        <f>TRUNC(272.453,2)</f>
        <v>272.45</v>
      </c>
      <c r="H697" s="62">
        <f>TRUNC(F697*G697,2)</f>
        <v>0.68</v>
      </c>
    </row>
    <row r="698" spans="1:8" x14ac:dyDescent="0.2">
      <c r="A698" s="47"/>
      <c r="B698" s="556"/>
      <c r="C698" s="509"/>
      <c r="D698" s="516"/>
      <c r="E698" s="552"/>
      <c r="F698" s="552" t="s">
        <v>38</v>
      </c>
      <c r="G698" s="552"/>
      <c r="H698" s="62">
        <f>TRUNC(SUM(H695:H697),2)</f>
        <v>19.05</v>
      </c>
    </row>
    <row r="699" spans="1:8" ht="33" customHeight="1" x14ac:dyDescent="0.2">
      <c r="A699" s="47"/>
      <c r="B699" s="556" t="s">
        <v>102</v>
      </c>
      <c r="C699" s="509"/>
      <c r="D699" s="542" t="s">
        <v>993</v>
      </c>
      <c r="E699" s="552"/>
      <c r="F699" s="552"/>
      <c r="G699" s="552"/>
      <c r="H699" s="62"/>
    </row>
    <row r="700" spans="1:8" ht="10.5" customHeight="1" x14ac:dyDescent="0.2">
      <c r="A700" s="47"/>
      <c r="B700" s="556" t="s">
        <v>1102</v>
      </c>
      <c r="C700" s="509" t="s">
        <v>1332</v>
      </c>
      <c r="D700" s="516" t="s">
        <v>996</v>
      </c>
      <c r="E700" s="552" t="s">
        <v>19</v>
      </c>
      <c r="F700" s="552">
        <v>1</v>
      </c>
      <c r="G700" s="552">
        <f>TRUNC(H705,2)</f>
        <v>132.80000000000001</v>
      </c>
      <c r="H700" s="62">
        <f>TRUNC(F700*G700,2)</f>
        <v>132.80000000000001</v>
      </c>
    </row>
    <row r="701" spans="1:8" ht="10.5" customHeight="1" x14ac:dyDescent="0.2">
      <c r="A701" s="47"/>
      <c r="B701" s="556"/>
      <c r="C701" s="509" t="s">
        <v>1184</v>
      </c>
      <c r="D701" s="516" t="s">
        <v>39</v>
      </c>
      <c r="E701" s="552" t="s">
        <v>37</v>
      </c>
      <c r="F701" s="552">
        <v>3.153</v>
      </c>
      <c r="G701" s="552">
        <f>TRUNC(21.86,2)</f>
        <v>21.86</v>
      </c>
      <c r="H701" s="62">
        <f>TRUNC(F701*G701,2)</f>
        <v>68.92</v>
      </c>
    </row>
    <row r="702" spans="1:8" ht="10.5" customHeight="1" x14ac:dyDescent="0.2">
      <c r="A702" s="47"/>
      <c r="B702" s="556"/>
      <c r="C702" s="509" t="s">
        <v>1191</v>
      </c>
      <c r="D702" s="516" t="s">
        <v>47</v>
      </c>
      <c r="E702" s="552" t="s">
        <v>37</v>
      </c>
      <c r="F702" s="552">
        <v>0.30509999999999998</v>
      </c>
      <c r="G702" s="552">
        <f>TRUNC(28,2)</f>
        <v>28</v>
      </c>
      <c r="H702" s="62">
        <f>TRUNC(F702*G702,2)</f>
        <v>8.5399999999999991</v>
      </c>
    </row>
    <row r="703" spans="1:8" ht="10.5" customHeight="1" x14ac:dyDescent="0.2">
      <c r="A703" s="47"/>
      <c r="B703" s="556"/>
      <c r="C703" s="509" t="s">
        <v>1186</v>
      </c>
      <c r="D703" s="516" t="s">
        <v>1187</v>
      </c>
      <c r="E703" s="552" t="s">
        <v>40</v>
      </c>
      <c r="F703" s="552">
        <v>0.44109999999999999</v>
      </c>
      <c r="G703" s="552">
        <f>TRUNC(26.89,2)</f>
        <v>26.89</v>
      </c>
      <c r="H703" s="62">
        <f>TRUNC(F703*G703,2)</f>
        <v>11.86</v>
      </c>
    </row>
    <row r="704" spans="1:8" ht="10.5" customHeight="1" x14ac:dyDescent="0.2">
      <c r="A704" s="47"/>
      <c r="B704" s="556"/>
      <c r="C704" s="509" t="s">
        <v>1188</v>
      </c>
      <c r="D704" s="516" t="s">
        <v>1189</v>
      </c>
      <c r="E704" s="552" t="s">
        <v>41</v>
      </c>
      <c r="F704" s="552">
        <v>1.5562</v>
      </c>
      <c r="G704" s="552">
        <f>TRUNC(27.94,2)</f>
        <v>27.94</v>
      </c>
      <c r="H704" s="62">
        <f>TRUNC(F704*G704,2)</f>
        <v>43.48</v>
      </c>
    </row>
    <row r="705" spans="1:8" ht="10.5" customHeight="1" x14ac:dyDescent="0.2">
      <c r="A705" s="47"/>
      <c r="B705" s="556"/>
      <c r="C705" s="509"/>
      <c r="D705" s="516"/>
      <c r="E705" s="552"/>
      <c r="F705" s="552" t="s">
        <v>38</v>
      </c>
      <c r="G705" s="552"/>
      <c r="H705" s="62">
        <f>TRUNC(SUM(H701:H704),2)</f>
        <v>132.80000000000001</v>
      </c>
    </row>
    <row r="706" spans="1:8" ht="10.5" customHeight="1" x14ac:dyDescent="0.2">
      <c r="A706" s="47"/>
      <c r="B706" s="556" t="s">
        <v>1103</v>
      </c>
      <c r="C706" s="509" t="s">
        <v>997</v>
      </c>
      <c r="D706" s="516" t="s">
        <v>1333</v>
      </c>
      <c r="E706" s="552" t="s">
        <v>19</v>
      </c>
      <c r="F706" s="552">
        <v>1</v>
      </c>
      <c r="G706" s="552">
        <f>TRUNC(H707,2)</f>
        <v>52.84</v>
      </c>
      <c r="H706" s="62">
        <f>TRUNC(F706*G706,2)</f>
        <v>52.84</v>
      </c>
    </row>
    <row r="707" spans="1:8" ht="10.5" customHeight="1" x14ac:dyDescent="0.2">
      <c r="A707" s="47"/>
      <c r="B707" s="556"/>
      <c r="C707" s="509" t="s">
        <v>35</v>
      </c>
      <c r="D707" s="516" t="s">
        <v>36</v>
      </c>
      <c r="E707" s="552" t="s">
        <v>37</v>
      </c>
      <c r="F707" s="552">
        <v>3.5019999999999998</v>
      </c>
      <c r="G707" s="552">
        <f>TRUNC(15.09,2)</f>
        <v>15.09</v>
      </c>
      <c r="H707" s="62">
        <f>TRUNC(F707*G707,2)</f>
        <v>52.84</v>
      </c>
    </row>
    <row r="708" spans="1:8" ht="10.5" customHeight="1" x14ac:dyDescent="0.2">
      <c r="A708" s="47"/>
      <c r="B708" s="556"/>
      <c r="C708" s="509"/>
      <c r="D708" s="516"/>
      <c r="E708" s="552"/>
      <c r="F708" s="552" t="s">
        <v>38</v>
      </c>
      <c r="G708" s="552"/>
      <c r="H708" s="62">
        <f>TRUNC(SUM(H707:H707),2)</f>
        <v>52.84</v>
      </c>
    </row>
    <row r="709" spans="1:8" ht="10.5" customHeight="1" x14ac:dyDescent="0.2">
      <c r="A709" s="47"/>
      <c r="B709" s="556" t="s">
        <v>1104</v>
      </c>
      <c r="C709" s="509" t="s">
        <v>999</v>
      </c>
      <c r="D709" s="516" t="s">
        <v>1000</v>
      </c>
      <c r="E709" s="552" t="s">
        <v>19</v>
      </c>
      <c r="F709" s="552">
        <v>1</v>
      </c>
      <c r="G709" s="552">
        <f>TRUNC(H715,2)</f>
        <v>411.39</v>
      </c>
      <c r="H709" s="62">
        <f t="shared" ref="H709:H714" si="33">TRUNC(F709*G709,2)</f>
        <v>411.39</v>
      </c>
    </row>
    <row r="710" spans="1:8" ht="10.5" customHeight="1" x14ac:dyDescent="0.2">
      <c r="A710" s="47"/>
      <c r="B710" s="556"/>
      <c r="C710" s="509" t="s">
        <v>1001</v>
      </c>
      <c r="D710" s="516" t="s">
        <v>1002</v>
      </c>
      <c r="E710" s="552" t="s">
        <v>1003</v>
      </c>
      <c r="F710" s="552">
        <v>1.2088650000000001</v>
      </c>
      <c r="G710" s="552">
        <f>TRUNC(49.01,2)</f>
        <v>49.01</v>
      </c>
      <c r="H710" s="62">
        <f t="shared" si="33"/>
        <v>59.24</v>
      </c>
    </row>
    <row r="711" spans="1:8" ht="10.5" customHeight="1" x14ac:dyDescent="0.2">
      <c r="A711" s="47"/>
      <c r="B711" s="556"/>
      <c r="C711" s="509" t="s">
        <v>111</v>
      </c>
      <c r="D711" s="516" t="s">
        <v>814</v>
      </c>
      <c r="E711" s="552" t="s">
        <v>23</v>
      </c>
      <c r="F711" s="552">
        <v>409.5</v>
      </c>
      <c r="G711" s="552">
        <f>TRUNC(0.337,2)</f>
        <v>0.33</v>
      </c>
      <c r="H711" s="62">
        <f t="shared" si="33"/>
        <v>135.13</v>
      </c>
    </row>
    <row r="712" spans="1:8" ht="10.5" customHeight="1" x14ac:dyDescent="0.2">
      <c r="A712" s="47"/>
      <c r="B712" s="556"/>
      <c r="C712" s="509" t="s">
        <v>112</v>
      </c>
      <c r="D712" s="516" t="s">
        <v>113</v>
      </c>
      <c r="E712" s="552" t="s">
        <v>19</v>
      </c>
      <c r="F712" s="552">
        <v>0.61949999999999994</v>
      </c>
      <c r="G712" s="552">
        <f>TRUNC(56.5,2)</f>
        <v>56.5</v>
      </c>
      <c r="H712" s="62">
        <f t="shared" si="33"/>
        <v>35</v>
      </c>
    </row>
    <row r="713" spans="1:8" ht="10.5" customHeight="1" x14ac:dyDescent="0.2">
      <c r="A713" s="47"/>
      <c r="B713" s="556"/>
      <c r="C713" s="509" t="s">
        <v>1004</v>
      </c>
      <c r="D713" s="516" t="s">
        <v>1005</v>
      </c>
      <c r="E713" s="552" t="s">
        <v>19</v>
      </c>
      <c r="F713" s="552">
        <v>1</v>
      </c>
      <c r="G713" s="552">
        <f>TRUNC(107.8366,2)</f>
        <v>107.83</v>
      </c>
      <c r="H713" s="62">
        <f t="shared" si="33"/>
        <v>107.83</v>
      </c>
    </row>
    <row r="714" spans="1:8" ht="10.5" customHeight="1" x14ac:dyDescent="0.2">
      <c r="A714" s="47"/>
      <c r="B714" s="556"/>
      <c r="C714" s="509" t="s">
        <v>1006</v>
      </c>
      <c r="D714" s="516" t="s">
        <v>1007</v>
      </c>
      <c r="E714" s="552" t="s">
        <v>19</v>
      </c>
      <c r="F714" s="552">
        <v>1</v>
      </c>
      <c r="G714" s="552">
        <f>TRUNC(74.1916,2)</f>
        <v>74.19</v>
      </c>
      <c r="H714" s="62">
        <f t="shared" si="33"/>
        <v>74.19</v>
      </c>
    </row>
    <row r="715" spans="1:8" ht="10.5" customHeight="1" x14ac:dyDescent="0.2">
      <c r="A715" s="47"/>
      <c r="B715" s="556"/>
      <c r="C715" s="509"/>
      <c r="D715" s="516"/>
      <c r="E715" s="552"/>
      <c r="F715" s="552" t="s">
        <v>38</v>
      </c>
      <c r="G715" s="552"/>
      <c r="H715" s="62">
        <f>TRUNC(SUM(H710:H714),2)</f>
        <v>411.39</v>
      </c>
    </row>
    <row r="716" spans="1:8" ht="10.5" customHeight="1" x14ac:dyDescent="0.2">
      <c r="A716" s="47"/>
      <c r="B716" s="556" t="s">
        <v>1105</v>
      </c>
      <c r="C716" s="509" t="s">
        <v>1008</v>
      </c>
      <c r="D716" s="592" t="s">
        <v>1009</v>
      </c>
      <c r="E716" s="552" t="s">
        <v>19</v>
      </c>
      <c r="F716" s="552">
        <v>1</v>
      </c>
      <c r="G716" s="552">
        <f>TRUNC(H718,2)</f>
        <v>32.630000000000003</v>
      </c>
      <c r="H716" s="62">
        <f>TRUNC(F716*G716,2)</f>
        <v>32.630000000000003</v>
      </c>
    </row>
    <row r="717" spans="1:8" ht="10.5" customHeight="1" x14ac:dyDescent="0.2">
      <c r="A717" s="47"/>
      <c r="B717" s="556"/>
      <c r="C717" s="509" t="s">
        <v>35</v>
      </c>
      <c r="D717" s="592" t="s">
        <v>36</v>
      </c>
      <c r="E717" s="552" t="s">
        <v>37</v>
      </c>
      <c r="F717" s="552">
        <v>2.1630000000000003</v>
      </c>
      <c r="G717" s="552">
        <f>TRUNC(15.09,2)</f>
        <v>15.09</v>
      </c>
      <c r="H717" s="62">
        <f>TRUNC(F717*G717,2)</f>
        <v>32.630000000000003</v>
      </c>
    </row>
    <row r="718" spans="1:8" ht="10.5" customHeight="1" x14ac:dyDescent="0.2">
      <c r="A718" s="47"/>
      <c r="B718" s="556"/>
      <c r="C718" s="509"/>
      <c r="D718" s="592"/>
      <c r="E718" s="552"/>
      <c r="F718" s="552" t="s">
        <v>38</v>
      </c>
      <c r="G718" s="552"/>
      <c r="H718" s="62">
        <f>TRUNC(SUM(H717:H717),2)</f>
        <v>32.630000000000003</v>
      </c>
    </row>
    <row r="719" spans="1:8" ht="10.5" customHeight="1" x14ac:dyDescent="0.2">
      <c r="A719" s="47"/>
      <c r="B719" s="556"/>
      <c r="C719" s="509"/>
      <c r="D719" s="592"/>
      <c r="E719" s="552"/>
      <c r="F719" s="552"/>
      <c r="G719" s="552"/>
      <c r="H719" s="62"/>
    </row>
    <row r="720" spans="1:8" x14ac:dyDescent="0.2">
      <c r="A720" s="47"/>
      <c r="B720" s="556" t="s">
        <v>107</v>
      </c>
      <c r="C720" s="509"/>
      <c r="D720" s="542" t="s">
        <v>923</v>
      </c>
      <c r="E720" s="552"/>
      <c r="F720" s="552"/>
      <c r="G720" s="552"/>
      <c r="H720" s="62"/>
    </row>
    <row r="721" spans="1:8" ht="36" x14ac:dyDescent="0.2">
      <c r="A721" s="47"/>
      <c r="B721" s="556" t="s">
        <v>1106</v>
      </c>
      <c r="C721" s="509" t="s">
        <v>924</v>
      </c>
      <c r="D721" s="516" t="s">
        <v>925</v>
      </c>
      <c r="E721" s="552" t="s">
        <v>22</v>
      </c>
      <c r="F721" s="552">
        <v>1</v>
      </c>
      <c r="G721" s="552">
        <f>TRUNC(H725,2)</f>
        <v>133.99</v>
      </c>
      <c r="H721" s="62">
        <f>TRUNC(F721*G721,2)</f>
        <v>133.99</v>
      </c>
    </row>
    <row r="722" spans="1:8" x14ac:dyDescent="0.2">
      <c r="A722" s="47"/>
      <c r="B722" s="556"/>
      <c r="C722" s="509" t="s">
        <v>926</v>
      </c>
      <c r="D722" s="516" t="s">
        <v>927</v>
      </c>
      <c r="E722" s="552" t="s">
        <v>22</v>
      </c>
      <c r="F722" s="552">
        <v>1</v>
      </c>
      <c r="G722" s="552">
        <f>TRUNC(115.5,2)</f>
        <v>115.5</v>
      </c>
      <c r="H722" s="62">
        <f>TRUNC(F722*G722,2)</f>
        <v>115.5</v>
      </c>
    </row>
    <row r="723" spans="1:8" ht="24" x14ac:dyDescent="0.2">
      <c r="A723" s="47"/>
      <c r="B723" s="556"/>
      <c r="C723" s="509" t="s">
        <v>35</v>
      </c>
      <c r="D723" s="516" t="s">
        <v>36</v>
      </c>
      <c r="E723" s="552" t="s">
        <v>37</v>
      </c>
      <c r="F723" s="552">
        <v>0.51500000000000001</v>
      </c>
      <c r="G723" s="552">
        <f>TRUNC(15.09,2)</f>
        <v>15.09</v>
      </c>
      <c r="H723" s="62">
        <f>TRUNC(F723*G723,2)</f>
        <v>7.77</v>
      </c>
    </row>
    <row r="724" spans="1:8" ht="24" x14ac:dyDescent="0.2">
      <c r="A724" s="47"/>
      <c r="B724" s="556"/>
      <c r="C724" s="509" t="s">
        <v>376</v>
      </c>
      <c r="D724" s="516" t="s">
        <v>377</v>
      </c>
      <c r="E724" s="552" t="s">
        <v>37</v>
      </c>
      <c r="F724" s="552">
        <v>0.51500000000000001</v>
      </c>
      <c r="G724" s="552">
        <f>TRUNC(20.83,2)</f>
        <v>20.83</v>
      </c>
      <c r="H724" s="62">
        <f>TRUNC(F724*G724,2)</f>
        <v>10.72</v>
      </c>
    </row>
    <row r="725" spans="1:8" x14ac:dyDescent="0.2">
      <c r="A725" s="47"/>
      <c r="B725" s="556"/>
      <c r="C725" s="509"/>
      <c r="D725" s="516"/>
      <c r="E725" s="552"/>
      <c r="F725" s="552" t="s">
        <v>38</v>
      </c>
      <c r="G725" s="552"/>
      <c r="H725" s="62">
        <f>TRUNC(SUM(H722:H724),2)</f>
        <v>133.99</v>
      </c>
    </row>
    <row r="726" spans="1:8" ht="48" x14ac:dyDescent="0.2">
      <c r="A726" s="47"/>
      <c r="B726" s="556" t="s">
        <v>1107</v>
      </c>
      <c r="C726" s="509" t="s">
        <v>928</v>
      </c>
      <c r="D726" s="516" t="s">
        <v>929</v>
      </c>
      <c r="E726" s="552" t="s">
        <v>22</v>
      </c>
      <c r="F726" s="552">
        <v>1</v>
      </c>
      <c r="G726" s="552">
        <f>TRUNC(H730,2)</f>
        <v>110.89</v>
      </c>
      <c r="H726" s="62">
        <f>TRUNC(F726*G726,2)</f>
        <v>110.89</v>
      </c>
    </row>
    <row r="727" spans="1:8" ht="24" x14ac:dyDescent="0.2">
      <c r="A727" s="47"/>
      <c r="B727" s="556"/>
      <c r="C727" s="509" t="s">
        <v>930</v>
      </c>
      <c r="D727" s="516" t="s">
        <v>931</v>
      </c>
      <c r="E727" s="552" t="s">
        <v>22</v>
      </c>
      <c r="F727" s="552">
        <v>1</v>
      </c>
      <c r="G727" s="552">
        <f>TRUNC(92.4,2)</f>
        <v>92.4</v>
      </c>
      <c r="H727" s="62">
        <f>TRUNC(F727*G727,2)</f>
        <v>92.4</v>
      </c>
    </row>
    <row r="728" spans="1:8" ht="24" x14ac:dyDescent="0.2">
      <c r="A728" s="47"/>
      <c r="B728" s="556"/>
      <c r="C728" s="509" t="s">
        <v>35</v>
      </c>
      <c r="D728" s="516" t="s">
        <v>36</v>
      </c>
      <c r="E728" s="552" t="s">
        <v>37</v>
      </c>
      <c r="F728" s="552">
        <v>0.51500000000000001</v>
      </c>
      <c r="G728" s="552">
        <f>TRUNC(15.09,2)</f>
        <v>15.09</v>
      </c>
      <c r="H728" s="62">
        <f>TRUNC(F728*G728,2)</f>
        <v>7.77</v>
      </c>
    </row>
    <row r="729" spans="1:8" ht="24" x14ac:dyDescent="0.2">
      <c r="A729" s="47"/>
      <c r="B729" s="556"/>
      <c r="C729" s="509" t="s">
        <v>376</v>
      </c>
      <c r="D729" s="516" t="s">
        <v>377</v>
      </c>
      <c r="E729" s="552" t="s">
        <v>37</v>
      </c>
      <c r="F729" s="552">
        <v>0.51500000000000001</v>
      </c>
      <c r="G729" s="552">
        <f>TRUNC(20.83,2)</f>
        <v>20.83</v>
      </c>
      <c r="H729" s="62">
        <f>TRUNC(F729*G729,2)</f>
        <v>10.72</v>
      </c>
    </row>
    <row r="730" spans="1:8" x14ac:dyDescent="0.2">
      <c r="A730" s="47"/>
      <c r="B730" s="556"/>
      <c r="C730" s="509"/>
      <c r="D730" s="516"/>
      <c r="E730" s="552"/>
      <c r="F730" s="552" t="s">
        <v>38</v>
      </c>
      <c r="G730" s="552"/>
      <c r="H730" s="62">
        <f>TRUNC(SUM(H727:H729),2)</f>
        <v>110.89</v>
      </c>
    </row>
    <row r="731" spans="1:8" ht="60" x14ac:dyDescent="0.2">
      <c r="A731" s="47"/>
      <c r="B731" s="556" t="s">
        <v>1108</v>
      </c>
      <c r="C731" s="509" t="s">
        <v>933</v>
      </c>
      <c r="D731" s="516" t="s">
        <v>934</v>
      </c>
      <c r="E731" s="552" t="s">
        <v>22</v>
      </c>
      <c r="F731" s="552">
        <v>1</v>
      </c>
      <c r="G731" s="552">
        <f>TRUNC(H735,2)</f>
        <v>32.65</v>
      </c>
      <c r="H731" s="62">
        <f>TRUNC(F731*G731,2)</f>
        <v>32.65</v>
      </c>
    </row>
    <row r="732" spans="1:8" ht="36" x14ac:dyDescent="0.2">
      <c r="A732" s="47"/>
      <c r="B732" s="556"/>
      <c r="C732" s="509" t="s">
        <v>935</v>
      </c>
      <c r="D732" s="516" t="s">
        <v>936</v>
      </c>
      <c r="E732" s="552" t="s">
        <v>22</v>
      </c>
      <c r="F732" s="552">
        <v>1</v>
      </c>
      <c r="G732" s="552">
        <f>TRUNC(14.16,2)</f>
        <v>14.16</v>
      </c>
      <c r="H732" s="62">
        <f>TRUNC(F732*G732,2)</f>
        <v>14.16</v>
      </c>
    </row>
    <row r="733" spans="1:8" ht="24" x14ac:dyDescent="0.2">
      <c r="A733" s="47"/>
      <c r="B733" s="556"/>
      <c r="C733" s="509" t="s">
        <v>35</v>
      </c>
      <c r="D733" s="516" t="s">
        <v>36</v>
      </c>
      <c r="E733" s="552" t="s">
        <v>37</v>
      </c>
      <c r="F733" s="552">
        <v>0.51500000000000001</v>
      </c>
      <c r="G733" s="552">
        <f>TRUNC(15.09,2)</f>
        <v>15.09</v>
      </c>
      <c r="H733" s="62">
        <f>TRUNC(F733*G733,2)</f>
        <v>7.77</v>
      </c>
    </row>
    <row r="734" spans="1:8" ht="24" x14ac:dyDescent="0.2">
      <c r="A734" s="47"/>
      <c r="B734" s="556"/>
      <c r="C734" s="509" t="s">
        <v>153</v>
      </c>
      <c r="D734" s="516" t="s">
        <v>154</v>
      </c>
      <c r="E734" s="552" t="s">
        <v>37</v>
      </c>
      <c r="F734" s="552">
        <v>0.51500000000000001</v>
      </c>
      <c r="G734" s="552">
        <f>TRUNC(20.83,2)</f>
        <v>20.83</v>
      </c>
      <c r="H734" s="62">
        <f>TRUNC(F734*G734,2)</f>
        <v>10.72</v>
      </c>
    </row>
    <row r="735" spans="1:8" x14ac:dyDescent="0.2">
      <c r="A735" s="47"/>
      <c r="B735" s="556"/>
      <c r="C735" s="509"/>
      <c r="D735" s="516"/>
      <c r="E735" s="552"/>
      <c r="F735" s="552" t="s">
        <v>38</v>
      </c>
      <c r="G735" s="552"/>
      <c r="H735" s="62">
        <f>TRUNC(SUM(H732:H734),2)</f>
        <v>32.65</v>
      </c>
    </row>
    <row r="736" spans="1:8" x14ac:dyDescent="0.2">
      <c r="A736" s="47"/>
      <c r="B736" s="556"/>
      <c r="C736" s="509" t="s">
        <v>932</v>
      </c>
      <c r="D736" s="516" t="s">
        <v>937</v>
      </c>
      <c r="E736" s="552"/>
      <c r="F736" s="552"/>
      <c r="G736" s="552"/>
      <c r="H736" s="62"/>
    </row>
    <row r="737" spans="1:8" x14ac:dyDescent="0.2">
      <c r="A737" s="47"/>
      <c r="B737" s="556"/>
      <c r="C737" s="509" t="s">
        <v>51</v>
      </c>
      <c r="D737" s="516" t="s">
        <v>938</v>
      </c>
      <c r="E737" s="552" t="s">
        <v>22</v>
      </c>
      <c r="F737" s="552">
        <v>3</v>
      </c>
      <c r="G737" s="552">
        <v>8.4</v>
      </c>
      <c r="H737" s="62">
        <f>F737*G737</f>
        <v>25.200000000000003</v>
      </c>
    </row>
    <row r="738" spans="1:8" x14ac:dyDescent="0.2">
      <c r="A738" s="47"/>
      <c r="B738" s="556"/>
      <c r="C738" s="509" t="s">
        <v>51</v>
      </c>
      <c r="D738" s="516" t="s">
        <v>939</v>
      </c>
      <c r="E738" s="552" t="s">
        <v>22</v>
      </c>
      <c r="F738" s="552">
        <v>3</v>
      </c>
      <c r="G738" s="552">
        <v>7.51</v>
      </c>
      <c r="H738" s="62">
        <f t="shared" ref="H738:H742" si="34">F738*G738</f>
        <v>22.53</v>
      </c>
    </row>
    <row r="739" spans="1:8" x14ac:dyDescent="0.2">
      <c r="A739" s="47"/>
      <c r="B739" s="556"/>
      <c r="C739" s="509" t="s">
        <v>51</v>
      </c>
      <c r="D739" s="516" t="s">
        <v>940</v>
      </c>
      <c r="E739" s="552" t="s">
        <v>22</v>
      </c>
      <c r="F739" s="552">
        <v>5</v>
      </c>
      <c r="G739" s="552">
        <v>7.51</v>
      </c>
      <c r="H739" s="62">
        <f t="shared" si="34"/>
        <v>37.549999999999997</v>
      </c>
    </row>
    <row r="740" spans="1:8" x14ac:dyDescent="0.2">
      <c r="A740" s="47"/>
      <c r="B740" s="556"/>
      <c r="C740" s="509" t="s">
        <v>51</v>
      </c>
      <c r="D740" s="516" t="s">
        <v>941</v>
      </c>
      <c r="E740" s="552" t="s">
        <v>22</v>
      </c>
      <c r="F740" s="552">
        <v>4</v>
      </c>
      <c r="G740" s="552">
        <v>8.09</v>
      </c>
      <c r="H740" s="62">
        <f t="shared" si="34"/>
        <v>32.36</v>
      </c>
    </row>
    <row r="741" spans="1:8" x14ac:dyDescent="0.2">
      <c r="A741" s="47"/>
      <c r="B741" s="556"/>
      <c r="C741" s="509" t="s">
        <v>51</v>
      </c>
      <c r="D741" s="516" t="s">
        <v>942</v>
      </c>
      <c r="E741" s="552" t="s">
        <v>22</v>
      </c>
      <c r="F741" s="552">
        <v>4</v>
      </c>
      <c r="G741" s="552">
        <v>17.850000000000001</v>
      </c>
      <c r="H741" s="62">
        <f t="shared" si="34"/>
        <v>71.400000000000006</v>
      </c>
    </row>
    <row r="742" spans="1:8" x14ac:dyDescent="0.2">
      <c r="A742" s="47"/>
      <c r="B742" s="556"/>
      <c r="C742" s="509" t="s">
        <v>51</v>
      </c>
      <c r="D742" s="516" t="s">
        <v>943</v>
      </c>
      <c r="E742" s="552" t="s">
        <v>22</v>
      </c>
      <c r="F742" s="552">
        <v>3</v>
      </c>
      <c r="G742" s="552">
        <v>15.96</v>
      </c>
      <c r="H742" s="62">
        <f t="shared" si="34"/>
        <v>47.88</v>
      </c>
    </row>
    <row r="743" spans="1:8" ht="18.75" x14ac:dyDescent="0.2">
      <c r="A743" s="47"/>
      <c r="B743" s="556"/>
      <c r="C743" s="509"/>
      <c r="D743" s="587" t="s">
        <v>38</v>
      </c>
      <c r="E743" s="581"/>
      <c r="F743" s="581">
        <f>SUM(F737:F742)</f>
        <v>22</v>
      </c>
      <c r="G743" s="581"/>
      <c r="H743" s="356">
        <f>SUM(H737:H742)</f>
        <v>236.92000000000002</v>
      </c>
    </row>
    <row r="744" spans="1:8" ht="18.75" x14ac:dyDescent="0.2">
      <c r="A744" s="47"/>
      <c r="B744" s="556" t="s">
        <v>1109</v>
      </c>
      <c r="C744" s="509"/>
      <c r="D744" s="587" t="s">
        <v>944</v>
      </c>
      <c r="E744" s="581"/>
      <c r="F744" s="581"/>
      <c r="G744" s="581"/>
      <c r="H744" s="357">
        <f>H743/22</f>
        <v>10.769090909090909</v>
      </c>
    </row>
    <row r="745" spans="1:8" x14ac:dyDescent="0.2">
      <c r="A745" s="47"/>
      <c r="B745" s="556"/>
      <c r="C745" s="509"/>
      <c r="D745" s="592"/>
      <c r="E745" s="552"/>
      <c r="F745" s="552"/>
      <c r="G745" s="552"/>
      <c r="H745" s="62"/>
    </row>
    <row r="746" spans="1:8" x14ac:dyDescent="0.2">
      <c r="A746" s="47"/>
      <c r="B746" s="556"/>
      <c r="C746" s="509"/>
      <c r="D746" s="592"/>
      <c r="E746" s="552"/>
      <c r="F746" s="552"/>
      <c r="G746" s="552"/>
      <c r="H746" s="62"/>
    </row>
    <row r="747" spans="1:8" ht="21" customHeight="1" x14ac:dyDescent="0.2">
      <c r="A747" s="47"/>
      <c r="B747" s="556" t="s">
        <v>108</v>
      </c>
      <c r="C747" s="509"/>
      <c r="D747" s="542" t="s">
        <v>151</v>
      </c>
      <c r="E747" s="552"/>
      <c r="F747" s="552"/>
      <c r="G747" s="552"/>
      <c r="H747" s="62"/>
    </row>
    <row r="748" spans="1:8" ht="70.5" customHeight="1" x14ac:dyDescent="0.2">
      <c r="A748" s="47"/>
      <c r="B748" s="556" t="s">
        <v>1110</v>
      </c>
      <c r="C748" s="62" t="s">
        <v>627</v>
      </c>
      <c r="D748" s="260" t="s">
        <v>1601</v>
      </c>
      <c r="E748" s="76" t="s">
        <v>22</v>
      </c>
      <c r="F748" s="76">
        <v>1</v>
      </c>
      <c r="G748" s="76">
        <f>TRUNC(H757,2)</f>
        <v>405.11</v>
      </c>
      <c r="H748" s="76">
        <f t="shared" ref="H748:H756" si="35">TRUNC(F748*G748,2)</f>
        <v>405.11</v>
      </c>
    </row>
    <row r="749" spans="1:8" ht="24" x14ac:dyDescent="0.2">
      <c r="A749" s="47"/>
      <c r="B749" s="556"/>
      <c r="C749" s="62" t="s">
        <v>1334</v>
      </c>
      <c r="D749" s="260" t="s">
        <v>628</v>
      </c>
      <c r="E749" s="76" t="s">
        <v>22</v>
      </c>
      <c r="F749" s="76">
        <v>2</v>
      </c>
      <c r="G749" s="76">
        <f>TRUNC(34.23,2)</f>
        <v>34.229999999999997</v>
      </c>
      <c r="H749" s="76">
        <f t="shared" si="35"/>
        <v>68.459999999999994</v>
      </c>
    </row>
    <row r="750" spans="1:8" x14ac:dyDescent="0.2">
      <c r="A750" s="47"/>
      <c r="B750" s="556"/>
      <c r="C750" s="62" t="s">
        <v>1335</v>
      </c>
      <c r="D750" s="260" t="s">
        <v>629</v>
      </c>
      <c r="E750" s="76" t="s">
        <v>23</v>
      </c>
      <c r="F750" s="76">
        <v>3.5099999999999999E-2</v>
      </c>
      <c r="G750" s="76">
        <f>TRUNC(44.3,2)</f>
        <v>44.3</v>
      </c>
      <c r="H750" s="76">
        <f t="shared" si="35"/>
        <v>1.55</v>
      </c>
    </row>
    <row r="751" spans="1:8" ht="36" x14ac:dyDescent="0.2">
      <c r="A751" s="47"/>
      <c r="B751" s="556"/>
      <c r="C751" s="62" t="s">
        <v>1336</v>
      </c>
      <c r="D751" s="260" t="s">
        <v>630</v>
      </c>
      <c r="E751" s="76" t="s">
        <v>16</v>
      </c>
      <c r="F751" s="76">
        <v>0</v>
      </c>
      <c r="G751" s="76">
        <f>TRUNC(452.83,2)</f>
        <v>452.83</v>
      </c>
      <c r="H751" s="76">
        <f t="shared" si="35"/>
        <v>0</v>
      </c>
    </row>
    <row r="752" spans="1:8" ht="36" x14ac:dyDescent="0.2">
      <c r="A752" s="47"/>
      <c r="B752" s="556"/>
      <c r="C752" s="62" t="s">
        <v>1340</v>
      </c>
      <c r="D752" s="260" t="s">
        <v>631</v>
      </c>
      <c r="E752" s="76" t="s">
        <v>16</v>
      </c>
      <c r="F752" s="76">
        <v>1.2</v>
      </c>
      <c r="G752" s="76">
        <v>213.02</v>
      </c>
      <c r="H752" s="76">
        <f t="shared" si="35"/>
        <v>255.62</v>
      </c>
    </row>
    <row r="753" spans="1:8" ht="36" x14ac:dyDescent="0.2">
      <c r="A753" s="47"/>
      <c r="B753" s="556"/>
      <c r="C753" s="62" t="s">
        <v>1337</v>
      </c>
      <c r="D753" s="260" t="s">
        <v>632</v>
      </c>
      <c r="E753" s="76" t="s">
        <v>22</v>
      </c>
      <c r="F753" s="76">
        <v>6</v>
      </c>
      <c r="G753" s="76">
        <f>TRUNC(0.67,2)</f>
        <v>0.67</v>
      </c>
      <c r="H753" s="76">
        <f t="shared" si="35"/>
        <v>4.0199999999999996</v>
      </c>
    </row>
    <row r="754" spans="1:8" x14ac:dyDescent="0.2">
      <c r="A754" s="47"/>
      <c r="B754" s="556"/>
      <c r="C754" s="62" t="s">
        <v>1338</v>
      </c>
      <c r="D754" s="260" t="s">
        <v>633</v>
      </c>
      <c r="E754" s="76" t="s">
        <v>23</v>
      </c>
      <c r="F754" s="76">
        <v>0.52280000000000004</v>
      </c>
      <c r="G754" s="76">
        <f>TRUNC(33.14,2)</f>
        <v>33.14</v>
      </c>
      <c r="H754" s="76">
        <f t="shared" si="35"/>
        <v>17.32</v>
      </c>
    </row>
    <row r="755" spans="1:8" x14ac:dyDescent="0.2">
      <c r="A755" s="47"/>
      <c r="B755" s="556"/>
      <c r="C755" s="62" t="s">
        <v>1184</v>
      </c>
      <c r="D755" s="260" t="s">
        <v>39</v>
      </c>
      <c r="E755" s="76" t="s">
        <v>37</v>
      </c>
      <c r="F755" s="76">
        <v>0.98</v>
      </c>
      <c r="G755" s="76">
        <f>TRUNC(21.86,2)</f>
        <v>21.86</v>
      </c>
      <c r="H755" s="76">
        <f t="shared" si="35"/>
        <v>21.42</v>
      </c>
    </row>
    <row r="756" spans="1:8" ht="24" x14ac:dyDescent="0.2">
      <c r="A756" s="47"/>
      <c r="B756" s="556"/>
      <c r="C756" s="62" t="s">
        <v>1339</v>
      </c>
      <c r="D756" s="260" t="s">
        <v>634</v>
      </c>
      <c r="E756" s="76" t="s">
        <v>37</v>
      </c>
      <c r="F756" s="76">
        <v>1.49</v>
      </c>
      <c r="G756" s="76">
        <f>TRUNC(24.65,2)</f>
        <v>24.65</v>
      </c>
      <c r="H756" s="76">
        <f t="shared" si="35"/>
        <v>36.72</v>
      </c>
    </row>
    <row r="757" spans="1:8" x14ac:dyDescent="0.2">
      <c r="A757" s="47"/>
      <c r="B757" s="556"/>
      <c r="C757" s="62"/>
      <c r="D757" s="260"/>
      <c r="E757" s="76"/>
      <c r="F757" s="76" t="s">
        <v>38</v>
      </c>
      <c r="G757" s="76"/>
      <c r="H757" s="76">
        <f>TRUNC(SUM(H749:H756),2)</f>
        <v>405.11</v>
      </c>
    </row>
    <row r="758" spans="1:8" ht="48" x14ac:dyDescent="0.2">
      <c r="A758" s="47"/>
      <c r="B758" s="556" t="s">
        <v>1111</v>
      </c>
      <c r="C758" s="62" t="s">
        <v>627</v>
      </c>
      <c r="D758" s="260" t="s">
        <v>1602</v>
      </c>
      <c r="E758" s="76" t="s">
        <v>22</v>
      </c>
      <c r="F758" s="76">
        <v>1</v>
      </c>
      <c r="G758" s="76">
        <f>TRUNC(H767,2)</f>
        <v>392.53</v>
      </c>
      <c r="H758" s="76">
        <f t="shared" ref="H758:H766" si="36">TRUNC(F758*G758,2)</f>
        <v>392.53</v>
      </c>
    </row>
    <row r="759" spans="1:8" ht="24" x14ac:dyDescent="0.2">
      <c r="A759" s="47"/>
      <c r="B759" s="556"/>
      <c r="C759" s="62" t="s">
        <v>1334</v>
      </c>
      <c r="D759" s="260" t="s">
        <v>628</v>
      </c>
      <c r="E759" s="76" t="s">
        <v>22</v>
      </c>
      <c r="F759" s="76">
        <v>2</v>
      </c>
      <c r="G759" s="76">
        <f>TRUNC(34.23,2)</f>
        <v>34.229999999999997</v>
      </c>
      <c r="H759" s="76">
        <f t="shared" si="36"/>
        <v>68.459999999999994</v>
      </c>
    </row>
    <row r="760" spans="1:8" x14ac:dyDescent="0.2">
      <c r="A760" s="47"/>
      <c r="B760" s="556"/>
      <c r="C760" s="62" t="s">
        <v>1335</v>
      </c>
      <c r="D760" s="260" t="s">
        <v>629</v>
      </c>
      <c r="E760" s="76" t="s">
        <v>23</v>
      </c>
      <c r="F760" s="76">
        <v>3.5099999999999999E-2</v>
      </c>
      <c r="G760" s="76">
        <f>TRUNC(44.3,2)</f>
        <v>44.3</v>
      </c>
      <c r="H760" s="76">
        <f t="shared" si="36"/>
        <v>1.55</v>
      </c>
    </row>
    <row r="761" spans="1:8" ht="36" x14ac:dyDescent="0.2">
      <c r="A761" s="47"/>
      <c r="B761" s="556"/>
      <c r="C761" s="62" t="s">
        <v>1336</v>
      </c>
      <c r="D761" s="260" t="s">
        <v>630</v>
      </c>
      <c r="E761" s="76" t="s">
        <v>16</v>
      </c>
      <c r="F761" s="76">
        <v>0</v>
      </c>
      <c r="G761" s="76">
        <f>TRUNC(452.83,2)</f>
        <v>452.83</v>
      </c>
      <c r="H761" s="76">
        <f t="shared" si="36"/>
        <v>0</v>
      </c>
    </row>
    <row r="762" spans="1:8" ht="24" x14ac:dyDescent="0.2">
      <c r="A762" s="47"/>
      <c r="B762" s="556"/>
      <c r="C762" s="62" t="s">
        <v>1341</v>
      </c>
      <c r="D762" s="260" t="s">
        <v>635</v>
      </c>
      <c r="E762" s="76" t="s">
        <v>18</v>
      </c>
      <c r="F762" s="76">
        <v>1.39</v>
      </c>
      <c r="G762" s="76">
        <v>174.85</v>
      </c>
      <c r="H762" s="76">
        <f t="shared" si="36"/>
        <v>243.04</v>
      </c>
    </row>
    <row r="763" spans="1:8" ht="36" x14ac:dyDescent="0.2">
      <c r="A763" s="47"/>
      <c r="B763" s="556"/>
      <c r="C763" s="62" t="s">
        <v>1337</v>
      </c>
      <c r="D763" s="260" t="s">
        <v>632</v>
      </c>
      <c r="E763" s="76" t="s">
        <v>22</v>
      </c>
      <c r="F763" s="76">
        <v>6</v>
      </c>
      <c r="G763" s="76">
        <f>TRUNC(0.67,2)</f>
        <v>0.67</v>
      </c>
      <c r="H763" s="76">
        <f t="shared" si="36"/>
        <v>4.0199999999999996</v>
      </c>
    </row>
    <row r="764" spans="1:8" x14ac:dyDescent="0.2">
      <c r="A764" s="47"/>
      <c r="B764" s="556"/>
      <c r="C764" s="62" t="s">
        <v>1338</v>
      </c>
      <c r="D764" s="260" t="s">
        <v>633</v>
      </c>
      <c r="E764" s="76" t="s">
        <v>23</v>
      </c>
      <c r="F764" s="76">
        <v>0.52280000000000004</v>
      </c>
      <c r="G764" s="76">
        <f>TRUNC(33.14,2)</f>
        <v>33.14</v>
      </c>
      <c r="H764" s="76">
        <f t="shared" si="36"/>
        <v>17.32</v>
      </c>
    </row>
    <row r="765" spans="1:8" x14ac:dyDescent="0.2">
      <c r="A765" s="47"/>
      <c r="B765" s="556"/>
      <c r="C765" s="62" t="s">
        <v>1184</v>
      </c>
      <c r="D765" s="260" t="s">
        <v>39</v>
      </c>
      <c r="E765" s="76" t="s">
        <v>37</v>
      </c>
      <c r="F765" s="76">
        <v>0.98</v>
      </c>
      <c r="G765" s="76">
        <f>TRUNC(21.86,2)</f>
        <v>21.86</v>
      </c>
      <c r="H765" s="76">
        <f t="shared" si="36"/>
        <v>21.42</v>
      </c>
    </row>
    <row r="766" spans="1:8" ht="24" x14ac:dyDescent="0.2">
      <c r="A766" s="47"/>
      <c r="B766" s="556"/>
      <c r="C766" s="62" t="s">
        <v>1339</v>
      </c>
      <c r="D766" s="260" t="s">
        <v>634</v>
      </c>
      <c r="E766" s="76" t="s">
        <v>37</v>
      </c>
      <c r="F766" s="76">
        <v>1.49</v>
      </c>
      <c r="G766" s="76">
        <f>TRUNC(24.65,2)</f>
        <v>24.65</v>
      </c>
      <c r="H766" s="76">
        <f t="shared" si="36"/>
        <v>36.72</v>
      </c>
    </row>
    <row r="767" spans="1:8" x14ac:dyDescent="0.2">
      <c r="A767" s="47"/>
      <c r="B767" s="556"/>
      <c r="C767" s="62"/>
      <c r="D767" s="260"/>
      <c r="E767" s="76"/>
      <c r="F767" s="76" t="s">
        <v>38</v>
      </c>
      <c r="G767" s="76"/>
      <c r="H767" s="76">
        <f>TRUNC(SUM(H759:H766),2)</f>
        <v>392.53</v>
      </c>
    </row>
    <row r="768" spans="1:8" ht="48" x14ac:dyDescent="0.2">
      <c r="A768" s="47"/>
      <c r="B768" s="556" t="s">
        <v>1112</v>
      </c>
      <c r="C768" s="62" t="s">
        <v>638</v>
      </c>
      <c r="D768" s="260" t="s">
        <v>639</v>
      </c>
      <c r="E768" s="76" t="s">
        <v>22</v>
      </c>
      <c r="F768" s="76">
        <v>1</v>
      </c>
      <c r="G768" s="76">
        <f>TRUNC(H772,2)</f>
        <v>327.85</v>
      </c>
      <c r="H768" s="76">
        <f>TRUNC(F768*G768,2)</f>
        <v>327.85</v>
      </c>
    </row>
    <row r="769" spans="1:8" ht="24" x14ac:dyDescent="0.2">
      <c r="A769" s="47"/>
      <c r="B769" s="556"/>
      <c r="C769" s="260" t="s">
        <v>1342</v>
      </c>
      <c r="D769" s="260" t="s">
        <v>1343</v>
      </c>
      <c r="E769" s="76" t="s">
        <v>22</v>
      </c>
      <c r="F769" s="76">
        <v>1</v>
      </c>
      <c r="G769" s="76">
        <f>TRUNC(158.3,2)</f>
        <v>158.30000000000001</v>
      </c>
      <c r="H769" s="76">
        <f>TRUNC(F769*G769,2)</f>
        <v>158.30000000000001</v>
      </c>
    </row>
    <row r="770" spans="1:8" ht="36" x14ac:dyDescent="0.2">
      <c r="A770" s="47"/>
      <c r="B770" s="556"/>
      <c r="C770" s="260" t="s">
        <v>1344</v>
      </c>
      <c r="D770" s="260" t="s">
        <v>1345</v>
      </c>
      <c r="E770" s="76" t="s">
        <v>22</v>
      </c>
      <c r="F770" s="76">
        <v>1</v>
      </c>
      <c r="G770" s="76">
        <f>TRUNC(124.45,2)</f>
        <v>124.45</v>
      </c>
      <c r="H770" s="76">
        <f>TRUNC(F770*G770,2)</f>
        <v>124.45</v>
      </c>
    </row>
    <row r="771" spans="1:8" ht="36" x14ac:dyDescent="0.2">
      <c r="A771" s="47"/>
      <c r="B771" s="556"/>
      <c r="C771" s="260" t="s">
        <v>1346</v>
      </c>
      <c r="D771" s="260" t="s">
        <v>1347</v>
      </c>
      <c r="E771" s="76" t="s">
        <v>22</v>
      </c>
      <c r="F771" s="76">
        <v>1</v>
      </c>
      <c r="G771" s="76">
        <f>TRUNC(45.1,2)</f>
        <v>45.1</v>
      </c>
      <c r="H771" s="76">
        <f>TRUNC(F771*G771,2)</f>
        <v>45.1</v>
      </c>
    </row>
    <row r="772" spans="1:8" x14ac:dyDescent="0.2">
      <c r="A772" s="47"/>
      <c r="B772" s="556"/>
      <c r="C772" s="260"/>
      <c r="D772" s="260"/>
      <c r="E772" s="76"/>
      <c r="F772" s="76" t="s">
        <v>38</v>
      </c>
      <c r="G772" s="76"/>
      <c r="H772" s="76">
        <f>TRUNC(SUM(H769:H771),2)</f>
        <v>327.85</v>
      </c>
    </row>
    <row r="773" spans="1:8" ht="36" x14ac:dyDescent="0.2">
      <c r="A773" s="47"/>
      <c r="B773" s="556" t="s">
        <v>1175</v>
      </c>
      <c r="C773" s="62" t="s">
        <v>640</v>
      </c>
      <c r="D773" s="260" t="s">
        <v>972</v>
      </c>
      <c r="E773" s="76" t="s">
        <v>22</v>
      </c>
      <c r="F773" s="76">
        <v>1</v>
      </c>
      <c r="G773" s="76">
        <f>TRUNC(H779,2)</f>
        <v>271.43</v>
      </c>
      <c r="H773" s="76">
        <f t="shared" ref="H773:H778" si="37">TRUNC(F773*G773,2)</f>
        <v>271.43</v>
      </c>
    </row>
    <row r="774" spans="1:8" ht="24" x14ac:dyDescent="0.2">
      <c r="A774" s="47"/>
      <c r="B774" s="556"/>
      <c r="C774" s="260" t="s">
        <v>1348</v>
      </c>
      <c r="D774" s="260" t="s">
        <v>641</v>
      </c>
      <c r="E774" s="76" t="s">
        <v>22</v>
      </c>
      <c r="F774" s="76">
        <v>0</v>
      </c>
      <c r="G774" s="76">
        <f>TRUNC(35.15,2)</f>
        <v>35.15</v>
      </c>
      <c r="H774" s="76">
        <f t="shared" si="37"/>
        <v>0</v>
      </c>
    </row>
    <row r="775" spans="1:8" ht="24" x14ac:dyDescent="0.2">
      <c r="A775" s="47"/>
      <c r="B775" s="556"/>
      <c r="C775" s="76" t="s">
        <v>51</v>
      </c>
      <c r="D775" s="260" t="s">
        <v>642</v>
      </c>
      <c r="E775" s="76" t="s">
        <v>22</v>
      </c>
      <c r="F775" s="76">
        <v>1</v>
      </c>
      <c r="G775" s="76">
        <v>267.22000000000003</v>
      </c>
      <c r="H775" s="76">
        <f t="shared" si="37"/>
        <v>267.22000000000003</v>
      </c>
    </row>
    <row r="776" spans="1:8" x14ac:dyDescent="0.2">
      <c r="A776" s="47"/>
      <c r="B776" s="556"/>
      <c r="C776" s="260" t="s">
        <v>1349</v>
      </c>
      <c r="D776" s="260" t="s">
        <v>643</v>
      </c>
      <c r="E776" s="76" t="s">
        <v>22</v>
      </c>
      <c r="F776" s="76">
        <v>3.04E-2</v>
      </c>
      <c r="G776" s="76">
        <f>TRUNC(2.93,2)</f>
        <v>2.93</v>
      </c>
      <c r="H776" s="76">
        <f t="shared" si="37"/>
        <v>0.08</v>
      </c>
    </row>
    <row r="777" spans="1:8" x14ac:dyDescent="0.2">
      <c r="A777" s="47"/>
      <c r="B777" s="556"/>
      <c r="C777" s="260" t="s">
        <v>1184</v>
      </c>
      <c r="D777" s="260" t="s">
        <v>39</v>
      </c>
      <c r="E777" s="76" t="s">
        <v>37</v>
      </c>
      <c r="F777" s="76">
        <v>0.04</v>
      </c>
      <c r="G777" s="76">
        <f>TRUNC(21.86,2)</f>
        <v>21.86</v>
      </c>
      <c r="H777" s="76">
        <f t="shared" si="37"/>
        <v>0.87</v>
      </c>
    </row>
    <row r="778" spans="1:8" ht="24" x14ac:dyDescent="0.2">
      <c r="A778" s="47"/>
      <c r="B778" s="556"/>
      <c r="C778" s="260" t="s">
        <v>1199</v>
      </c>
      <c r="D778" s="260" t="s">
        <v>224</v>
      </c>
      <c r="E778" s="76" t="s">
        <v>37</v>
      </c>
      <c r="F778" s="76">
        <v>0.12</v>
      </c>
      <c r="G778" s="76">
        <f>TRUNC(27.24,2)</f>
        <v>27.24</v>
      </c>
      <c r="H778" s="76">
        <f t="shared" si="37"/>
        <v>3.26</v>
      </c>
    </row>
    <row r="779" spans="1:8" x14ac:dyDescent="0.2">
      <c r="A779" s="47"/>
      <c r="B779" s="556"/>
      <c r="C779" s="260"/>
      <c r="D779" s="260"/>
      <c r="E779" s="76"/>
      <c r="F779" s="76" t="s">
        <v>38</v>
      </c>
      <c r="G779" s="76"/>
      <c r="H779" s="76">
        <f>TRUNC(SUM(H774:H778),2)</f>
        <v>271.43</v>
      </c>
    </row>
    <row r="780" spans="1:8" ht="60" x14ac:dyDescent="0.2">
      <c r="A780" s="47"/>
      <c r="B780" s="556" t="s">
        <v>1114</v>
      </c>
      <c r="C780" s="62" t="s">
        <v>1609</v>
      </c>
      <c r="D780" s="260" t="s">
        <v>649</v>
      </c>
      <c r="E780" s="75" t="s">
        <v>22</v>
      </c>
      <c r="F780" s="292">
        <v>1</v>
      </c>
      <c r="G780" s="292">
        <f>TRUNC(H789,2)</f>
        <v>2130.15</v>
      </c>
      <c r="H780" s="292">
        <f>TRUNC(F780*G780,2)</f>
        <v>2130.15</v>
      </c>
    </row>
    <row r="781" spans="1:8" ht="24" x14ac:dyDescent="0.2">
      <c r="A781" s="47"/>
      <c r="B781" s="556"/>
      <c r="C781" s="260" t="s">
        <v>517</v>
      </c>
      <c r="D781" s="260" t="s">
        <v>518</v>
      </c>
      <c r="E781" s="75" t="s">
        <v>22</v>
      </c>
      <c r="F781" s="292">
        <v>1</v>
      </c>
      <c r="G781" s="292">
        <f>TRUNC(29.77,2)</f>
        <v>29.77</v>
      </c>
      <c r="H781" s="292">
        <f>TRUNC(F781*G781,2)</f>
        <v>29.77</v>
      </c>
    </row>
    <row r="782" spans="1:8" ht="36" x14ac:dyDescent="0.2">
      <c r="A782" s="47"/>
      <c r="B782" s="556"/>
      <c r="C782" s="260" t="s">
        <v>519</v>
      </c>
      <c r="D782" s="260" t="s">
        <v>520</v>
      </c>
      <c r="E782" s="75" t="s">
        <v>22</v>
      </c>
      <c r="F782" s="292">
        <v>0</v>
      </c>
      <c r="G782" s="292">
        <f>TRUNC(1742,2)</f>
        <v>1742</v>
      </c>
      <c r="H782" s="292">
        <f>TRUNC(F782*G782,2)</f>
        <v>0</v>
      </c>
    </row>
    <row r="783" spans="1:8" ht="36" x14ac:dyDescent="0.2">
      <c r="A783" s="47"/>
      <c r="B783" s="556"/>
      <c r="C783" s="76" t="s">
        <v>51</v>
      </c>
      <c r="D783" s="593" t="s">
        <v>645</v>
      </c>
      <c r="E783" s="75" t="s">
        <v>22</v>
      </c>
      <c r="F783" s="292">
        <v>1</v>
      </c>
      <c r="G783" s="292">
        <v>1871.68</v>
      </c>
      <c r="H783" s="292">
        <f t="shared" ref="H783" si="38">TRUNC(F783*G783,2)</f>
        <v>1871.68</v>
      </c>
    </row>
    <row r="784" spans="1:8" x14ac:dyDescent="0.2">
      <c r="A784" s="47"/>
      <c r="B784" s="556"/>
      <c r="C784" s="260" t="s">
        <v>521</v>
      </c>
      <c r="D784" s="260" t="s">
        <v>522</v>
      </c>
      <c r="E784" s="75" t="s">
        <v>22</v>
      </c>
      <c r="F784" s="292">
        <v>1</v>
      </c>
      <c r="G784" s="292">
        <f>TRUNC(70.35,2)</f>
        <v>70.349999999999994</v>
      </c>
      <c r="H784" s="292">
        <f>TRUNC(F784*G784,2)</f>
        <v>70.349999999999994</v>
      </c>
    </row>
    <row r="785" spans="1:8" ht="24" x14ac:dyDescent="0.2">
      <c r="A785" s="47"/>
      <c r="B785" s="556"/>
      <c r="C785" s="260" t="s">
        <v>35</v>
      </c>
      <c r="D785" s="260" t="s">
        <v>36</v>
      </c>
      <c r="E785" s="75" t="s">
        <v>37</v>
      </c>
      <c r="F785" s="292">
        <v>1.03</v>
      </c>
      <c r="G785" s="292">
        <f>TRUNC(15.09,2)</f>
        <v>15.09</v>
      </c>
      <c r="H785" s="292">
        <f>TRUNC(F785*G785,2)</f>
        <v>15.54</v>
      </c>
    </row>
    <row r="786" spans="1:8" ht="24" x14ac:dyDescent="0.2">
      <c r="A786" s="47"/>
      <c r="B786" s="556"/>
      <c r="C786" s="260" t="s">
        <v>376</v>
      </c>
      <c r="D786" s="260" t="s">
        <v>377</v>
      </c>
      <c r="E786" s="75" t="s">
        <v>37</v>
      </c>
      <c r="F786" s="292">
        <v>1.03</v>
      </c>
      <c r="G786" s="292">
        <f>TRUNC(20.83,2)</f>
        <v>20.83</v>
      </c>
      <c r="H786" s="292">
        <f>TRUNC(F786*G786,2)</f>
        <v>21.45</v>
      </c>
    </row>
    <row r="787" spans="1:8" x14ac:dyDescent="0.2">
      <c r="A787" s="47"/>
      <c r="B787" s="556"/>
      <c r="C787" s="260" t="s">
        <v>1445</v>
      </c>
      <c r="D787" s="260" t="s">
        <v>1446</v>
      </c>
      <c r="E787" s="75" t="s">
        <v>19</v>
      </c>
      <c r="F787" s="292">
        <v>0.04</v>
      </c>
      <c r="G787" s="292">
        <f>TRUNC(1558.5908,2)</f>
        <v>1558.59</v>
      </c>
      <c r="H787" s="292">
        <f>TRUNC(F787*G787,2)</f>
        <v>62.34</v>
      </c>
    </row>
    <row r="788" spans="1:8" x14ac:dyDescent="0.2">
      <c r="A788" s="47"/>
      <c r="B788" s="556"/>
      <c r="C788" s="260" t="s">
        <v>186</v>
      </c>
      <c r="D788" s="260" t="s">
        <v>187</v>
      </c>
      <c r="E788" s="75" t="s">
        <v>16</v>
      </c>
      <c r="F788" s="292">
        <v>1.2</v>
      </c>
      <c r="G788" s="292">
        <f>TRUNC(49.1996,2)</f>
        <v>49.19</v>
      </c>
      <c r="H788" s="292">
        <f>TRUNC(F788*G788,2)</f>
        <v>59.02</v>
      </c>
    </row>
    <row r="789" spans="1:8" x14ac:dyDescent="0.2">
      <c r="A789" s="47"/>
      <c r="B789" s="556"/>
      <c r="C789" s="260"/>
      <c r="D789" s="260"/>
      <c r="E789" s="75"/>
      <c r="F789" s="292" t="s">
        <v>38</v>
      </c>
      <c r="G789" s="292"/>
      <c r="H789" s="292">
        <f>TRUNC(SUM(H781:H788),2)</f>
        <v>2130.15</v>
      </c>
    </row>
    <row r="790" spans="1:8" ht="60" x14ac:dyDescent="0.2">
      <c r="A790" s="47"/>
      <c r="B790" s="556" t="s">
        <v>1115</v>
      </c>
      <c r="C790" s="62" t="s">
        <v>1609</v>
      </c>
      <c r="D790" s="260" t="s">
        <v>650</v>
      </c>
      <c r="E790" s="75" t="s">
        <v>22</v>
      </c>
      <c r="F790" s="292">
        <v>1</v>
      </c>
      <c r="G790" s="292">
        <f>TRUNC(H799,2)</f>
        <v>2103.5</v>
      </c>
      <c r="H790" s="292">
        <f>TRUNC(F790*G790,2)</f>
        <v>2103.5</v>
      </c>
    </row>
    <row r="791" spans="1:8" ht="24" x14ac:dyDescent="0.2">
      <c r="A791" s="47"/>
      <c r="B791" s="556"/>
      <c r="C791" s="260" t="s">
        <v>517</v>
      </c>
      <c r="D791" s="260" t="s">
        <v>518</v>
      </c>
      <c r="E791" s="75" t="s">
        <v>22</v>
      </c>
      <c r="F791" s="292">
        <v>1</v>
      </c>
      <c r="G791" s="292">
        <f>TRUNC(29.77,2)</f>
        <v>29.77</v>
      </c>
      <c r="H791" s="292">
        <f>TRUNC(F791*G791,2)</f>
        <v>29.77</v>
      </c>
    </row>
    <row r="792" spans="1:8" ht="36" x14ac:dyDescent="0.2">
      <c r="A792" s="47"/>
      <c r="B792" s="556"/>
      <c r="C792" s="260" t="s">
        <v>519</v>
      </c>
      <c r="D792" s="260" t="s">
        <v>520</v>
      </c>
      <c r="E792" s="75" t="s">
        <v>22</v>
      </c>
      <c r="F792" s="292">
        <v>0</v>
      </c>
      <c r="G792" s="292">
        <f>TRUNC(1742,2)</f>
        <v>1742</v>
      </c>
      <c r="H792" s="292">
        <f>TRUNC(F792*G792,2)</f>
        <v>0</v>
      </c>
    </row>
    <row r="793" spans="1:8" ht="48" x14ac:dyDescent="0.2">
      <c r="A793" s="47"/>
      <c r="B793" s="556"/>
      <c r="C793" s="76" t="s">
        <v>51</v>
      </c>
      <c r="D793" s="593" t="s">
        <v>646</v>
      </c>
      <c r="E793" s="75" t="s">
        <v>22</v>
      </c>
      <c r="F793" s="292">
        <v>1</v>
      </c>
      <c r="G793" s="292">
        <v>1966.39</v>
      </c>
      <c r="H793" s="292">
        <f t="shared" ref="H793" si="39">TRUNC(F793*G793,2)</f>
        <v>1966.39</v>
      </c>
    </row>
    <row r="794" spans="1:8" x14ac:dyDescent="0.2">
      <c r="A794" s="47"/>
      <c r="B794" s="556"/>
      <c r="C794" s="260" t="s">
        <v>521</v>
      </c>
      <c r="D794" s="260" t="s">
        <v>522</v>
      </c>
      <c r="E794" s="75" t="s">
        <v>22</v>
      </c>
      <c r="F794" s="292">
        <v>1</v>
      </c>
      <c r="G794" s="292">
        <f>TRUNC(70.35,2)</f>
        <v>70.349999999999994</v>
      </c>
      <c r="H794" s="292">
        <f>TRUNC(F794*G794,2)</f>
        <v>70.349999999999994</v>
      </c>
    </row>
    <row r="795" spans="1:8" ht="24" x14ac:dyDescent="0.2">
      <c r="A795" s="47"/>
      <c r="B795" s="556"/>
      <c r="C795" s="260" t="s">
        <v>35</v>
      </c>
      <c r="D795" s="260" t="s">
        <v>36</v>
      </c>
      <c r="E795" s="75" t="s">
        <v>37</v>
      </c>
      <c r="F795" s="292">
        <v>1.03</v>
      </c>
      <c r="G795" s="292">
        <f>TRUNC(15.09,2)</f>
        <v>15.09</v>
      </c>
      <c r="H795" s="292">
        <f>TRUNC(F795*G795,2)</f>
        <v>15.54</v>
      </c>
    </row>
    <row r="796" spans="1:8" ht="24" x14ac:dyDescent="0.2">
      <c r="A796" s="47"/>
      <c r="B796" s="556"/>
      <c r="C796" s="260" t="s">
        <v>376</v>
      </c>
      <c r="D796" s="260" t="s">
        <v>377</v>
      </c>
      <c r="E796" s="75" t="s">
        <v>37</v>
      </c>
      <c r="F796" s="292">
        <v>1.03</v>
      </c>
      <c r="G796" s="292">
        <f>TRUNC(20.83,2)</f>
        <v>20.83</v>
      </c>
      <c r="H796" s="292">
        <f>TRUNC(F796*G796,2)</f>
        <v>21.45</v>
      </c>
    </row>
    <row r="797" spans="1:8" x14ac:dyDescent="0.2">
      <c r="A797" s="47"/>
      <c r="B797" s="556"/>
      <c r="C797" s="260" t="s">
        <v>1445</v>
      </c>
      <c r="D797" s="260" t="s">
        <v>1446</v>
      </c>
      <c r="E797" s="75" t="s">
        <v>19</v>
      </c>
      <c r="F797" s="292">
        <v>0</v>
      </c>
      <c r="G797" s="292">
        <f>TRUNC(1558.5908,2)</f>
        <v>1558.59</v>
      </c>
      <c r="H797" s="292">
        <f>TRUNC(F797*G797,2)</f>
        <v>0</v>
      </c>
    </row>
    <row r="798" spans="1:8" x14ac:dyDescent="0.2">
      <c r="A798" s="47"/>
      <c r="B798" s="556"/>
      <c r="C798" s="260" t="s">
        <v>186</v>
      </c>
      <c r="D798" s="260" t="s">
        <v>187</v>
      </c>
      <c r="E798" s="75" t="s">
        <v>16</v>
      </c>
      <c r="F798" s="292">
        <v>0</v>
      </c>
      <c r="G798" s="292">
        <f>TRUNC(49.1996,2)</f>
        <v>49.19</v>
      </c>
      <c r="H798" s="292">
        <f>TRUNC(F798*G798,2)</f>
        <v>0</v>
      </c>
    </row>
    <row r="799" spans="1:8" x14ac:dyDescent="0.2">
      <c r="A799" s="47"/>
      <c r="B799" s="556"/>
      <c r="C799" s="260"/>
      <c r="D799" s="260"/>
      <c r="E799" s="75"/>
      <c r="F799" s="292" t="s">
        <v>38</v>
      </c>
      <c r="G799" s="292"/>
      <c r="H799" s="292">
        <f>TRUNC(SUM(H791:H798),2)</f>
        <v>2103.5</v>
      </c>
    </row>
    <row r="800" spans="1:8" ht="96" x14ac:dyDescent="0.2">
      <c r="A800" s="47"/>
      <c r="B800" s="556" t="s">
        <v>1116</v>
      </c>
      <c r="C800" s="260" t="s">
        <v>1622</v>
      </c>
      <c r="D800" s="260" t="s">
        <v>1608</v>
      </c>
      <c r="E800" s="75" t="s">
        <v>22</v>
      </c>
      <c r="F800" s="292">
        <v>1</v>
      </c>
      <c r="G800" s="292">
        <f>TRUNC(H809,2)</f>
        <v>2619.44</v>
      </c>
      <c r="H800" s="292">
        <f>TRUNC(F800*G800,2)</f>
        <v>2619.44</v>
      </c>
    </row>
    <row r="801" spans="1:9" ht="24" x14ac:dyDescent="0.2">
      <c r="A801" s="47"/>
      <c r="B801" s="556"/>
      <c r="C801" s="260" t="s">
        <v>517</v>
      </c>
      <c r="D801" s="260" t="s">
        <v>518</v>
      </c>
      <c r="E801" s="75" t="s">
        <v>22</v>
      </c>
      <c r="F801" s="292">
        <v>1</v>
      </c>
      <c r="G801" s="292">
        <f>TRUNC(29.77,2)</f>
        <v>29.77</v>
      </c>
      <c r="H801" s="292">
        <f>TRUNC(F801*G801,2)</f>
        <v>29.77</v>
      </c>
      <c r="I801" s="292"/>
    </row>
    <row r="802" spans="1:9" ht="36" x14ac:dyDescent="0.2">
      <c r="A802" s="47"/>
      <c r="B802" s="556"/>
      <c r="C802" s="260" t="s">
        <v>519</v>
      </c>
      <c r="D802" s="260" t="s">
        <v>520</v>
      </c>
      <c r="E802" s="75" t="s">
        <v>22</v>
      </c>
      <c r="F802" s="292">
        <v>0</v>
      </c>
      <c r="G802" s="292">
        <f>TRUNC(1742,2)</f>
        <v>1742</v>
      </c>
      <c r="H802" s="292">
        <f>TRUNC(F802*G802,2)</f>
        <v>0</v>
      </c>
      <c r="I802" s="292"/>
    </row>
    <row r="803" spans="1:9" ht="48" x14ac:dyDescent="0.2">
      <c r="A803" s="47"/>
      <c r="B803" s="556"/>
      <c r="C803" s="76" t="s">
        <v>51</v>
      </c>
      <c r="D803" s="593" t="s">
        <v>647</v>
      </c>
      <c r="E803" s="75" t="s">
        <v>22</v>
      </c>
      <c r="F803" s="292">
        <v>1</v>
      </c>
      <c r="G803" s="292">
        <v>2482.33</v>
      </c>
      <c r="H803" s="292">
        <f t="shared" ref="H803" si="40">TRUNC(F803*G803,2)</f>
        <v>2482.33</v>
      </c>
      <c r="I803" s="292"/>
    </row>
    <row r="804" spans="1:9" x14ac:dyDescent="0.2">
      <c r="A804" s="47"/>
      <c r="B804" s="556"/>
      <c r="C804" s="260" t="s">
        <v>521</v>
      </c>
      <c r="D804" s="260" t="s">
        <v>522</v>
      </c>
      <c r="E804" s="75" t="s">
        <v>22</v>
      </c>
      <c r="F804" s="292">
        <v>1</v>
      </c>
      <c r="G804" s="292">
        <f>TRUNC(70.35,2)</f>
        <v>70.349999999999994</v>
      </c>
      <c r="H804" s="292">
        <f>TRUNC(F804*G804,2)</f>
        <v>70.349999999999994</v>
      </c>
      <c r="I804" s="292"/>
    </row>
    <row r="805" spans="1:9" ht="24" x14ac:dyDescent="0.2">
      <c r="A805" s="47"/>
      <c r="B805" s="556"/>
      <c r="C805" s="260" t="s">
        <v>35</v>
      </c>
      <c r="D805" s="260" t="s">
        <v>36</v>
      </c>
      <c r="E805" s="75" t="s">
        <v>37</v>
      </c>
      <c r="F805" s="292">
        <v>1.03</v>
      </c>
      <c r="G805" s="292">
        <f>TRUNC(15.09,2)</f>
        <v>15.09</v>
      </c>
      <c r="H805" s="292">
        <f>TRUNC(F805*G805,2)</f>
        <v>15.54</v>
      </c>
      <c r="I805" s="292"/>
    </row>
    <row r="806" spans="1:9" ht="24" x14ac:dyDescent="0.2">
      <c r="A806" s="47"/>
      <c r="B806" s="556"/>
      <c r="C806" s="260" t="s">
        <v>376</v>
      </c>
      <c r="D806" s="260" t="s">
        <v>377</v>
      </c>
      <c r="E806" s="75" t="s">
        <v>37</v>
      </c>
      <c r="F806" s="292">
        <v>1.03</v>
      </c>
      <c r="G806" s="292">
        <f>TRUNC(20.83,2)</f>
        <v>20.83</v>
      </c>
      <c r="H806" s="292">
        <f>TRUNC(F806*G806,2)</f>
        <v>21.45</v>
      </c>
      <c r="I806" s="292"/>
    </row>
    <row r="807" spans="1:9" x14ac:dyDescent="0.2">
      <c r="A807" s="47"/>
      <c r="B807" s="556"/>
      <c r="C807" s="260" t="s">
        <v>1445</v>
      </c>
      <c r="D807" s="260" t="s">
        <v>1446</v>
      </c>
      <c r="E807" s="75" t="s">
        <v>19</v>
      </c>
      <c r="F807" s="292">
        <v>0</v>
      </c>
      <c r="G807" s="292">
        <f>TRUNC(1558.5908,2)</f>
        <v>1558.59</v>
      </c>
      <c r="H807" s="292">
        <f>TRUNC(F807*G807,2)</f>
        <v>0</v>
      </c>
      <c r="I807" s="292"/>
    </row>
    <row r="808" spans="1:9" x14ac:dyDescent="0.2">
      <c r="A808" s="47"/>
      <c r="B808" s="556"/>
      <c r="C808" s="260" t="s">
        <v>186</v>
      </c>
      <c r="D808" s="260" t="s">
        <v>187</v>
      </c>
      <c r="E808" s="75" t="s">
        <v>16</v>
      </c>
      <c r="F808" s="292">
        <v>0</v>
      </c>
      <c r="G808" s="292">
        <f>TRUNC(49.1996,2)</f>
        <v>49.19</v>
      </c>
      <c r="H808" s="292">
        <f>TRUNC(F808*G808,2)</f>
        <v>0</v>
      </c>
      <c r="I808" s="292"/>
    </row>
    <row r="809" spans="1:9" x14ac:dyDescent="0.2">
      <c r="A809" s="47"/>
      <c r="B809" s="556"/>
      <c r="C809" s="260"/>
      <c r="D809" s="260"/>
      <c r="E809" s="75"/>
      <c r="F809" s="292" t="s">
        <v>38</v>
      </c>
      <c r="G809" s="292"/>
      <c r="H809" s="292">
        <f>TRUNC(SUM(H801:H808),2)</f>
        <v>2619.44</v>
      </c>
    </row>
    <row r="810" spans="1:9" ht="72" x14ac:dyDescent="0.2">
      <c r="A810" s="47"/>
      <c r="B810" s="556" t="s">
        <v>1117</v>
      </c>
      <c r="C810" s="62" t="s">
        <v>1609</v>
      </c>
      <c r="D810" s="260" t="s">
        <v>652</v>
      </c>
      <c r="E810" s="75" t="s">
        <v>22</v>
      </c>
      <c r="F810" s="292">
        <v>1</v>
      </c>
      <c r="G810" s="292">
        <f>TRUNC(H819,2)</f>
        <v>3798.71</v>
      </c>
      <c r="H810" s="292">
        <f>TRUNC(F810*G810,2)</f>
        <v>3798.71</v>
      </c>
    </row>
    <row r="811" spans="1:9" ht="24" x14ac:dyDescent="0.2">
      <c r="A811" s="47"/>
      <c r="B811" s="556"/>
      <c r="C811" s="260" t="s">
        <v>517</v>
      </c>
      <c r="D811" s="260" t="s">
        <v>518</v>
      </c>
      <c r="E811" s="75" t="s">
        <v>22</v>
      </c>
      <c r="F811" s="292">
        <v>1</v>
      </c>
      <c r="G811" s="292">
        <f>TRUNC(29.77,2)</f>
        <v>29.77</v>
      </c>
      <c r="H811" s="292">
        <f>TRUNC(F811*G811,2)</f>
        <v>29.77</v>
      </c>
    </row>
    <row r="812" spans="1:9" ht="36" x14ac:dyDescent="0.2">
      <c r="A812" s="47"/>
      <c r="B812" s="556"/>
      <c r="C812" s="260" t="s">
        <v>519</v>
      </c>
      <c r="D812" s="260" t="s">
        <v>520</v>
      </c>
      <c r="E812" s="75" t="s">
        <v>22</v>
      </c>
      <c r="F812" s="292">
        <v>0</v>
      </c>
      <c r="G812" s="292">
        <f>TRUNC(1742,2)</f>
        <v>1742</v>
      </c>
      <c r="H812" s="292">
        <f>TRUNC(F812*G812,2)</f>
        <v>0</v>
      </c>
    </row>
    <row r="813" spans="1:9" ht="48" x14ac:dyDescent="0.2">
      <c r="A813" s="47"/>
      <c r="B813" s="556"/>
      <c r="C813" s="76" t="s">
        <v>51</v>
      </c>
      <c r="D813" s="593" t="s">
        <v>648</v>
      </c>
      <c r="E813" s="75" t="s">
        <v>22</v>
      </c>
      <c r="F813" s="292">
        <v>1</v>
      </c>
      <c r="G813" s="292">
        <v>3540.24</v>
      </c>
      <c r="H813" s="292">
        <f t="shared" ref="H813" si="41">TRUNC(F813*G813,2)</f>
        <v>3540.24</v>
      </c>
    </row>
    <row r="814" spans="1:9" x14ac:dyDescent="0.2">
      <c r="A814" s="47"/>
      <c r="B814" s="556"/>
      <c r="C814" s="260" t="s">
        <v>521</v>
      </c>
      <c r="D814" s="260" t="s">
        <v>522</v>
      </c>
      <c r="E814" s="75" t="s">
        <v>22</v>
      </c>
      <c r="F814" s="292">
        <v>1</v>
      </c>
      <c r="G814" s="292">
        <f>TRUNC(70.35,2)</f>
        <v>70.349999999999994</v>
      </c>
      <c r="H814" s="292">
        <f>TRUNC(F814*G814,2)</f>
        <v>70.349999999999994</v>
      </c>
    </row>
    <row r="815" spans="1:9" ht="24" x14ac:dyDescent="0.2">
      <c r="A815" s="47"/>
      <c r="B815" s="556"/>
      <c r="C815" s="260" t="s">
        <v>35</v>
      </c>
      <c r="D815" s="260" t="s">
        <v>36</v>
      </c>
      <c r="E815" s="75" t="s">
        <v>37</v>
      </c>
      <c r="F815" s="292">
        <v>1.03</v>
      </c>
      <c r="G815" s="292">
        <f>TRUNC(15.09,2)</f>
        <v>15.09</v>
      </c>
      <c r="H815" s="292">
        <f>TRUNC(F815*G815,2)</f>
        <v>15.54</v>
      </c>
    </row>
    <row r="816" spans="1:9" ht="24" x14ac:dyDescent="0.2">
      <c r="A816" s="47"/>
      <c r="B816" s="556"/>
      <c r="C816" s="260" t="s">
        <v>376</v>
      </c>
      <c r="D816" s="260" t="s">
        <v>377</v>
      </c>
      <c r="E816" s="75" t="s">
        <v>37</v>
      </c>
      <c r="F816" s="292">
        <v>1.03</v>
      </c>
      <c r="G816" s="292">
        <f>TRUNC(20.83,2)</f>
        <v>20.83</v>
      </c>
      <c r="H816" s="292">
        <f>TRUNC(F816*G816,2)</f>
        <v>21.45</v>
      </c>
    </row>
    <row r="817" spans="1:8" x14ac:dyDescent="0.2">
      <c r="A817" s="47"/>
      <c r="B817" s="556"/>
      <c r="C817" s="260" t="s">
        <v>1445</v>
      </c>
      <c r="D817" s="260" t="s">
        <v>1446</v>
      </c>
      <c r="E817" s="75" t="s">
        <v>19</v>
      </c>
      <c r="F817" s="292">
        <v>0.04</v>
      </c>
      <c r="G817" s="292">
        <f>TRUNC(1558.5908,2)</f>
        <v>1558.59</v>
      </c>
      <c r="H817" s="292">
        <f>TRUNC(F817*G817,2)</f>
        <v>62.34</v>
      </c>
    </row>
    <row r="818" spans="1:8" x14ac:dyDescent="0.2">
      <c r="A818" s="47"/>
      <c r="B818" s="556"/>
      <c r="C818" s="260" t="s">
        <v>186</v>
      </c>
      <c r="D818" s="260" t="s">
        <v>187</v>
      </c>
      <c r="E818" s="75" t="s">
        <v>16</v>
      </c>
      <c r="F818" s="292">
        <v>1.2</v>
      </c>
      <c r="G818" s="292">
        <f>TRUNC(49.1996,2)</f>
        <v>49.19</v>
      </c>
      <c r="H818" s="292">
        <f>TRUNC(F818*G818,2)</f>
        <v>59.02</v>
      </c>
    </row>
    <row r="819" spans="1:8" x14ac:dyDescent="0.2">
      <c r="A819" s="47"/>
      <c r="B819" s="556"/>
      <c r="C819" s="260"/>
      <c r="D819" s="260"/>
      <c r="E819" s="75"/>
      <c r="F819" s="292" t="s">
        <v>38</v>
      </c>
      <c r="G819" s="292"/>
      <c r="H819" s="292">
        <f>TRUNC(SUM(H811:H818),2)</f>
        <v>3798.71</v>
      </c>
    </row>
    <row r="820" spans="1:8" ht="72" x14ac:dyDescent="0.2">
      <c r="A820" s="47"/>
      <c r="B820" s="556" t="s">
        <v>1119</v>
      </c>
      <c r="C820" s="62" t="s">
        <v>653</v>
      </c>
      <c r="D820" s="260" t="s">
        <v>974</v>
      </c>
      <c r="E820" s="76" t="s">
        <v>22</v>
      </c>
      <c r="F820" s="76">
        <v>1</v>
      </c>
      <c r="G820" s="76">
        <f>TRUNC(H829,2)</f>
        <v>427.69</v>
      </c>
      <c r="H820" s="76">
        <f>TRUNC(F820*G820,2)</f>
        <v>427.69</v>
      </c>
    </row>
    <row r="821" spans="1:8" ht="36" x14ac:dyDescent="0.2">
      <c r="A821" s="47"/>
      <c r="B821" s="556"/>
      <c r="C821" s="62" t="s">
        <v>654</v>
      </c>
      <c r="D821" s="260" t="s">
        <v>655</v>
      </c>
      <c r="E821" s="76" t="s">
        <v>22</v>
      </c>
      <c r="F821" s="76">
        <v>1</v>
      </c>
      <c r="G821" s="76">
        <f>TRUNC(73.38,2)</f>
        <v>73.38</v>
      </c>
      <c r="H821" s="76">
        <f>TRUNC(F821*G821,2)</f>
        <v>73.38</v>
      </c>
    </row>
    <row r="822" spans="1:8" ht="24" x14ac:dyDescent="0.2">
      <c r="A822" s="47"/>
      <c r="B822" s="556"/>
      <c r="C822" s="76" t="s">
        <v>51</v>
      </c>
      <c r="D822" s="260" t="s">
        <v>658</v>
      </c>
      <c r="E822" s="76" t="s">
        <v>22</v>
      </c>
      <c r="F822" s="76">
        <v>1</v>
      </c>
      <c r="G822" s="76">
        <v>224.4</v>
      </c>
      <c r="H822" s="76">
        <f t="shared" ref="H822" si="42">TRUNC(F822*G822,2)</f>
        <v>224.4</v>
      </c>
    </row>
    <row r="823" spans="1:8" x14ac:dyDescent="0.2">
      <c r="A823" s="47"/>
      <c r="B823" s="556"/>
      <c r="C823" s="62" t="s">
        <v>656</v>
      </c>
      <c r="D823" s="260" t="s">
        <v>657</v>
      </c>
      <c r="E823" s="76" t="s">
        <v>22</v>
      </c>
      <c r="F823" s="76">
        <v>0</v>
      </c>
      <c r="G823" s="76">
        <f>TRUNC(24.24,2)</f>
        <v>24.24</v>
      </c>
      <c r="H823" s="76">
        <f t="shared" ref="H823:H828" si="43">TRUNC(F823*G823,2)</f>
        <v>0</v>
      </c>
    </row>
    <row r="824" spans="1:8" x14ac:dyDescent="0.2">
      <c r="A824" s="47"/>
      <c r="B824" s="556"/>
      <c r="C824" s="62" t="s">
        <v>659</v>
      </c>
      <c r="D824" s="260" t="s">
        <v>660</v>
      </c>
      <c r="E824" s="76" t="s">
        <v>22</v>
      </c>
      <c r="F824" s="76">
        <v>1</v>
      </c>
      <c r="G824" s="76">
        <f>TRUNC(86.65,2)</f>
        <v>86.65</v>
      </c>
      <c r="H824" s="76">
        <f t="shared" si="43"/>
        <v>86.65</v>
      </c>
    </row>
    <row r="825" spans="1:8" ht="24" x14ac:dyDescent="0.2">
      <c r="A825" s="47"/>
      <c r="B825" s="556"/>
      <c r="C825" s="62" t="s">
        <v>52</v>
      </c>
      <c r="D825" s="260" t="s">
        <v>53</v>
      </c>
      <c r="E825" s="76" t="s">
        <v>22</v>
      </c>
      <c r="F825" s="76">
        <v>1</v>
      </c>
      <c r="G825" s="76">
        <f>TRUNC(2.02,2)</f>
        <v>2.02</v>
      </c>
      <c r="H825" s="76">
        <f t="shared" si="43"/>
        <v>2.02</v>
      </c>
    </row>
    <row r="826" spans="1:8" ht="24" x14ac:dyDescent="0.2">
      <c r="A826" s="47"/>
      <c r="B826" s="556"/>
      <c r="C826" s="62" t="s">
        <v>661</v>
      </c>
      <c r="D826" s="260" t="s">
        <v>662</v>
      </c>
      <c r="E826" s="76" t="s">
        <v>22</v>
      </c>
      <c r="F826" s="76">
        <v>1</v>
      </c>
      <c r="G826" s="76">
        <f>TRUNC(17.91,2)</f>
        <v>17.91</v>
      </c>
      <c r="H826" s="76">
        <f t="shared" si="43"/>
        <v>17.91</v>
      </c>
    </row>
    <row r="827" spans="1:8" ht="24" x14ac:dyDescent="0.2">
      <c r="A827" s="47"/>
      <c r="B827" s="556"/>
      <c r="C827" s="76" t="s">
        <v>35</v>
      </c>
      <c r="D827" s="260" t="s">
        <v>36</v>
      </c>
      <c r="E827" s="76" t="s">
        <v>37</v>
      </c>
      <c r="F827" s="76">
        <v>0.65</v>
      </c>
      <c r="G827" s="76">
        <v>15.09</v>
      </c>
      <c r="H827" s="76">
        <f t="shared" si="43"/>
        <v>9.8000000000000007</v>
      </c>
    </row>
    <row r="828" spans="1:8" ht="24" x14ac:dyDescent="0.2">
      <c r="A828" s="47"/>
      <c r="B828" s="556"/>
      <c r="C828" s="76" t="s">
        <v>209</v>
      </c>
      <c r="D828" s="260" t="s">
        <v>210</v>
      </c>
      <c r="E828" s="76" t="s">
        <v>37</v>
      </c>
      <c r="F828" s="76">
        <v>0.65</v>
      </c>
      <c r="G828" s="76">
        <v>20.83</v>
      </c>
      <c r="H828" s="76">
        <f t="shared" si="43"/>
        <v>13.53</v>
      </c>
    </row>
    <row r="829" spans="1:8" x14ac:dyDescent="0.2">
      <c r="A829" s="47"/>
      <c r="B829" s="556"/>
      <c r="C829" s="62"/>
      <c r="D829" s="260"/>
      <c r="E829" s="76"/>
      <c r="F829" s="76" t="s">
        <v>38</v>
      </c>
      <c r="G829" s="76"/>
      <c r="H829" s="76">
        <f>TRUNC(SUM(H821:H828),2)</f>
        <v>427.69</v>
      </c>
    </row>
    <row r="830" spans="1:8" ht="36" x14ac:dyDescent="0.2">
      <c r="A830" s="47"/>
      <c r="B830" s="556" t="s">
        <v>1120</v>
      </c>
      <c r="C830" s="260" t="s">
        <v>640</v>
      </c>
      <c r="D830" s="260" t="s">
        <v>976</v>
      </c>
      <c r="E830" s="76" t="s">
        <v>22</v>
      </c>
      <c r="F830" s="76">
        <v>1</v>
      </c>
      <c r="G830" s="76">
        <f>TRUNC(H836,2)</f>
        <v>228.61</v>
      </c>
      <c r="H830" s="76">
        <f t="shared" ref="H830:H835" si="44">TRUNC(F830*G830,2)</f>
        <v>228.61</v>
      </c>
    </row>
    <row r="831" spans="1:8" ht="24" x14ac:dyDescent="0.2">
      <c r="A831" s="47"/>
      <c r="B831" s="556"/>
      <c r="C831" s="260" t="s">
        <v>1348</v>
      </c>
      <c r="D831" s="260" t="s">
        <v>641</v>
      </c>
      <c r="E831" s="76" t="s">
        <v>22</v>
      </c>
      <c r="F831" s="76">
        <v>0</v>
      </c>
      <c r="G831" s="76">
        <f>TRUNC(35.15,2)</f>
        <v>35.15</v>
      </c>
      <c r="H831" s="76">
        <f t="shared" si="44"/>
        <v>0</v>
      </c>
    </row>
    <row r="832" spans="1:8" ht="24" x14ac:dyDescent="0.2">
      <c r="A832" s="47"/>
      <c r="B832" s="556"/>
      <c r="C832" s="76" t="s">
        <v>51</v>
      </c>
      <c r="D832" s="260" t="s">
        <v>922</v>
      </c>
      <c r="E832" s="76" t="s">
        <v>22</v>
      </c>
      <c r="F832" s="76">
        <v>1</v>
      </c>
      <c r="G832" s="76">
        <v>224.4</v>
      </c>
      <c r="H832" s="76">
        <f t="shared" si="44"/>
        <v>224.4</v>
      </c>
    </row>
    <row r="833" spans="1:8" x14ac:dyDescent="0.2">
      <c r="A833" s="47"/>
      <c r="B833" s="556"/>
      <c r="C833" s="260" t="s">
        <v>1349</v>
      </c>
      <c r="D833" s="260" t="s">
        <v>643</v>
      </c>
      <c r="E833" s="76" t="s">
        <v>22</v>
      </c>
      <c r="F833" s="76">
        <v>3.04E-2</v>
      </c>
      <c r="G833" s="76">
        <f>TRUNC(2.93,2)</f>
        <v>2.93</v>
      </c>
      <c r="H833" s="76">
        <f t="shared" si="44"/>
        <v>0.08</v>
      </c>
    </row>
    <row r="834" spans="1:8" x14ac:dyDescent="0.2">
      <c r="A834" s="47"/>
      <c r="B834" s="556"/>
      <c r="C834" s="260" t="s">
        <v>1184</v>
      </c>
      <c r="D834" s="260" t="s">
        <v>39</v>
      </c>
      <c r="E834" s="76" t="s">
        <v>37</v>
      </c>
      <c r="F834" s="76">
        <v>0.04</v>
      </c>
      <c r="G834" s="76">
        <f>TRUNC(21.86,2)</f>
        <v>21.86</v>
      </c>
      <c r="H834" s="76">
        <f t="shared" si="44"/>
        <v>0.87</v>
      </c>
    </row>
    <row r="835" spans="1:8" ht="24" x14ac:dyDescent="0.2">
      <c r="A835" s="47"/>
      <c r="B835" s="556"/>
      <c r="C835" s="260" t="s">
        <v>1199</v>
      </c>
      <c r="D835" s="260" t="s">
        <v>224</v>
      </c>
      <c r="E835" s="76" t="s">
        <v>37</v>
      </c>
      <c r="F835" s="76">
        <v>0.12</v>
      </c>
      <c r="G835" s="76">
        <f>TRUNC(27.24,2)</f>
        <v>27.24</v>
      </c>
      <c r="H835" s="76">
        <f t="shared" si="44"/>
        <v>3.26</v>
      </c>
    </row>
    <row r="836" spans="1:8" x14ac:dyDescent="0.2">
      <c r="A836" s="47"/>
      <c r="B836" s="556"/>
      <c r="C836" s="260"/>
      <c r="D836" s="260"/>
      <c r="E836" s="76"/>
      <c r="F836" s="76" t="s">
        <v>38</v>
      </c>
      <c r="G836" s="76"/>
      <c r="H836" s="76">
        <f>TRUNC(SUM(H831:H835),2)</f>
        <v>228.61</v>
      </c>
    </row>
    <row r="837" spans="1:8" ht="90.75" x14ac:dyDescent="0.2">
      <c r="A837" s="47"/>
      <c r="B837" s="556" t="s">
        <v>1121</v>
      </c>
      <c r="C837" s="62" t="s">
        <v>893</v>
      </c>
      <c r="D837" s="260" t="s">
        <v>1603</v>
      </c>
      <c r="E837" s="76" t="s">
        <v>22</v>
      </c>
      <c r="F837" s="76">
        <v>1</v>
      </c>
      <c r="G837" s="76">
        <f>TRUNC(H842,2)</f>
        <v>131.47</v>
      </c>
      <c r="H837" s="76">
        <f>TRUNC(F837*G837,2)</f>
        <v>131.47</v>
      </c>
    </row>
    <row r="838" spans="1:8" ht="24" x14ac:dyDescent="0.2">
      <c r="A838" s="47"/>
      <c r="B838" s="556"/>
      <c r="C838" s="62" t="s">
        <v>891</v>
      </c>
      <c r="D838" s="260" t="s">
        <v>892</v>
      </c>
      <c r="E838" s="76" t="s">
        <v>22</v>
      </c>
      <c r="F838" s="76">
        <v>0</v>
      </c>
      <c r="G838" s="76">
        <f>TRUNC(265.55,2)</f>
        <v>265.55</v>
      </c>
      <c r="H838" s="76">
        <f>TRUNC(F838*G838,2)</f>
        <v>0</v>
      </c>
    </row>
    <row r="839" spans="1:8" ht="48" x14ac:dyDescent="0.2">
      <c r="A839" s="47"/>
      <c r="B839" s="556"/>
      <c r="C839" s="76" t="s">
        <v>51</v>
      </c>
      <c r="D839" s="260" t="s">
        <v>894</v>
      </c>
      <c r="E839" s="76" t="s">
        <v>22</v>
      </c>
      <c r="F839" s="76">
        <v>1</v>
      </c>
      <c r="G839" s="76">
        <v>94.48</v>
      </c>
      <c r="H839" s="76">
        <f>TRUNC(F839*G839,2)</f>
        <v>94.48</v>
      </c>
    </row>
    <row r="840" spans="1:8" ht="24" x14ac:dyDescent="0.2">
      <c r="A840" s="47"/>
      <c r="B840" s="556"/>
      <c r="C840" s="62" t="s">
        <v>35</v>
      </c>
      <c r="D840" s="260" t="s">
        <v>36</v>
      </c>
      <c r="E840" s="76" t="s">
        <v>37</v>
      </c>
      <c r="F840" s="76">
        <v>1.03</v>
      </c>
      <c r="G840" s="76">
        <f>TRUNC(15.09,2)</f>
        <v>15.09</v>
      </c>
      <c r="H840" s="76">
        <f>TRUNC(F840*G840,2)</f>
        <v>15.54</v>
      </c>
    </row>
    <row r="841" spans="1:8" ht="24" x14ac:dyDescent="0.2">
      <c r="A841" s="47"/>
      <c r="B841" s="556"/>
      <c r="C841" s="62" t="s">
        <v>376</v>
      </c>
      <c r="D841" s="260" t="s">
        <v>377</v>
      </c>
      <c r="E841" s="76" t="s">
        <v>37</v>
      </c>
      <c r="F841" s="76">
        <v>1.03</v>
      </c>
      <c r="G841" s="76">
        <f>TRUNC(20.83,2)</f>
        <v>20.83</v>
      </c>
      <c r="H841" s="76">
        <f>TRUNC(F841*G841,2)</f>
        <v>21.45</v>
      </c>
    </row>
    <row r="842" spans="1:8" x14ac:dyDescent="0.2">
      <c r="A842" s="47"/>
      <c r="B842" s="556"/>
      <c r="C842" s="62"/>
      <c r="D842" s="260"/>
      <c r="E842" s="76"/>
      <c r="F842" s="76" t="s">
        <v>38</v>
      </c>
      <c r="G842" s="76"/>
      <c r="H842" s="76">
        <f>TRUNC(SUM(H838:H841),2)</f>
        <v>131.47</v>
      </c>
    </row>
    <row r="843" spans="1:8" ht="48" x14ac:dyDescent="0.2">
      <c r="A843" s="47"/>
      <c r="B843" s="556" t="s">
        <v>1122</v>
      </c>
      <c r="C843" s="594" t="s">
        <v>1350</v>
      </c>
      <c r="D843" s="516" t="s">
        <v>697</v>
      </c>
      <c r="E843" s="516" t="s">
        <v>22</v>
      </c>
      <c r="F843" s="516">
        <v>1</v>
      </c>
      <c r="G843" s="516">
        <f>TRUNC(H846,2)</f>
        <v>477.82</v>
      </c>
      <c r="H843" s="260">
        <f>TRUNC(F843*G843,2)</f>
        <v>477.82</v>
      </c>
    </row>
    <row r="844" spans="1:8" ht="36" x14ac:dyDescent="0.2">
      <c r="A844" s="47"/>
      <c r="B844" s="556"/>
      <c r="C844" s="594" t="s">
        <v>1351</v>
      </c>
      <c r="D844" s="516" t="s">
        <v>1352</v>
      </c>
      <c r="E844" s="516" t="s">
        <v>22</v>
      </c>
      <c r="F844" s="516">
        <v>1</v>
      </c>
      <c r="G844" s="516">
        <f>TRUNC(443.74,2)</f>
        <v>443.74</v>
      </c>
      <c r="H844" s="260">
        <f>TRUNC(F844*G844,2)</f>
        <v>443.74</v>
      </c>
    </row>
    <row r="845" spans="1:8" ht="24" x14ac:dyDescent="0.2">
      <c r="A845" s="47"/>
      <c r="B845" s="556"/>
      <c r="C845" s="594" t="s">
        <v>1353</v>
      </c>
      <c r="D845" s="516" t="s">
        <v>1354</v>
      </c>
      <c r="E845" s="516" t="s">
        <v>22</v>
      </c>
      <c r="F845" s="516">
        <v>1</v>
      </c>
      <c r="G845" s="516">
        <f>TRUNC(34.08,2)</f>
        <v>34.08</v>
      </c>
      <c r="H845" s="260">
        <f>TRUNC(F845*G845,2)</f>
        <v>34.08</v>
      </c>
    </row>
    <row r="846" spans="1:8" x14ac:dyDescent="0.2">
      <c r="A846" s="47"/>
      <c r="B846" s="556"/>
      <c r="C846" s="594"/>
      <c r="D846" s="516"/>
      <c r="E846" s="516"/>
      <c r="F846" s="516" t="s">
        <v>38</v>
      </c>
      <c r="G846" s="516"/>
      <c r="H846" s="260">
        <f>TRUNC(SUM(H844:H845),2)</f>
        <v>477.82</v>
      </c>
    </row>
    <row r="847" spans="1:8" ht="36" x14ac:dyDescent="0.2">
      <c r="A847" s="47"/>
      <c r="B847" s="556" t="s">
        <v>1123</v>
      </c>
      <c r="C847" s="594" t="s">
        <v>696</v>
      </c>
      <c r="D847" s="516" t="s">
        <v>698</v>
      </c>
      <c r="E847" s="516" t="s">
        <v>22</v>
      </c>
      <c r="F847" s="516">
        <v>1</v>
      </c>
      <c r="G847" s="516">
        <f>TRUNC(H850,2)</f>
        <v>66.38</v>
      </c>
      <c r="H847" s="260">
        <f>TRUNC(F847*G847,2)</f>
        <v>66.38</v>
      </c>
    </row>
    <row r="848" spans="1:8" ht="24" x14ac:dyDescent="0.2">
      <c r="A848" s="47"/>
      <c r="B848" s="556"/>
      <c r="C848" s="594" t="s">
        <v>699</v>
      </c>
      <c r="D848" s="516" t="s">
        <v>700</v>
      </c>
      <c r="E848" s="516" t="s">
        <v>22</v>
      </c>
      <c r="F848" s="516">
        <v>1</v>
      </c>
      <c r="G848" s="516">
        <f>TRUNC(65.92,2)</f>
        <v>65.92</v>
      </c>
      <c r="H848" s="260">
        <f>TRUNC(F848*G848,2)</f>
        <v>65.92</v>
      </c>
    </row>
    <row r="849" spans="1:8" ht="24" x14ac:dyDescent="0.2">
      <c r="A849" s="47"/>
      <c r="B849" s="556"/>
      <c r="C849" s="594" t="s">
        <v>35</v>
      </c>
      <c r="D849" s="516" t="s">
        <v>36</v>
      </c>
      <c r="E849" s="516" t="s">
        <v>37</v>
      </c>
      <c r="F849" s="516">
        <v>3.09E-2</v>
      </c>
      <c r="G849" s="516">
        <f>TRUNC(15.09,2)</f>
        <v>15.09</v>
      </c>
      <c r="H849" s="260">
        <f>TRUNC(F849*G849,2)</f>
        <v>0.46</v>
      </c>
    </row>
    <row r="850" spans="1:8" x14ac:dyDescent="0.2">
      <c r="A850" s="47"/>
      <c r="B850" s="556"/>
      <c r="C850" s="594"/>
      <c r="D850" s="516"/>
      <c r="E850" s="516"/>
      <c r="F850" s="516" t="s">
        <v>38</v>
      </c>
      <c r="G850" s="516"/>
      <c r="H850" s="260">
        <f>TRUNC(SUM(H848:H849),2)</f>
        <v>66.38</v>
      </c>
    </row>
    <row r="851" spans="1:8" ht="60" x14ac:dyDescent="0.2">
      <c r="A851" s="47"/>
      <c r="B851" s="556" t="s">
        <v>1124</v>
      </c>
      <c r="C851" s="509" t="s">
        <v>1626</v>
      </c>
      <c r="D851" s="516" t="s">
        <v>1604</v>
      </c>
      <c r="E851" s="552" t="s">
        <v>22</v>
      </c>
      <c r="F851" s="595">
        <v>1</v>
      </c>
      <c r="G851" s="595">
        <f>TRUNC(H859,2)</f>
        <v>1079.8699999999999</v>
      </c>
      <c r="H851" s="398">
        <f>TRUNC(F851*G851,2)</f>
        <v>1079.8699999999999</v>
      </c>
    </row>
    <row r="852" spans="1:8" x14ac:dyDescent="0.2">
      <c r="A852" s="47"/>
      <c r="B852" s="556"/>
      <c r="C852" s="594" t="s">
        <v>1335</v>
      </c>
      <c r="D852" s="516" t="s">
        <v>629</v>
      </c>
      <c r="E852" s="552" t="s">
        <v>23</v>
      </c>
      <c r="F852" s="595">
        <v>0.1469</v>
      </c>
      <c r="G852" s="595">
        <f>TRUNC(44.3,2)</f>
        <v>44.3</v>
      </c>
      <c r="H852" s="398">
        <f>TRUNC(F852*G852,2)</f>
        <v>6.5</v>
      </c>
    </row>
    <row r="853" spans="1:8" ht="36" x14ac:dyDescent="0.2">
      <c r="A853" s="47"/>
      <c r="B853" s="556"/>
      <c r="C853" s="594" t="s">
        <v>1355</v>
      </c>
      <c r="D853" s="516" t="s">
        <v>691</v>
      </c>
      <c r="E853" s="552" t="s">
        <v>22</v>
      </c>
      <c r="F853" s="595">
        <v>0</v>
      </c>
      <c r="G853" s="595">
        <v>697</v>
      </c>
      <c r="H853" s="398">
        <f>TRUNC(F853*G853,2)</f>
        <v>0</v>
      </c>
    </row>
    <row r="854" spans="1:8" ht="48" x14ac:dyDescent="0.2">
      <c r="A854" s="47"/>
      <c r="B854" s="556"/>
      <c r="C854" s="594" t="s">
        <v>51</v>
      </c>
      <c r="D854" s="516" t="s">
        <v>694</v>
      </c>
      <c r="E854" s="552" t="s">
        <v>22</v>
      </c>
      <c r="F854" s="595">
        <v>1</v>
      </c>
      <c r="G854" s="595">
        <v>1009.15</v>
      </c>
      <c r="H854" s="398">
        <f t="shared" ref="H854" si="45">TRUNC(F854*G854,2)</f>
        <v>1009.15</v>
      </c>
    </row>
    <row r="855" spans="1:8" x14ac:dyDescent="0.2">
      <c r="A855" s="47"/>
      <c r="B855" s="556"/>
      <c r="C855" s="594" t="s">
        <v>1356</v>
      </c>
      <c r="D855" s="516" t="s">
        <v>692</v>
      </c>
      <c r="E855" s="552" t="s">
        <v>22</v>
      </c>
      <c r="F855" s="595">
        <v>1</v>
      </c>
      <c r="G855" s="595">
        <v>2.21</v>
      </c>
      <c r="H855" s="398">
        <f>TRUNC(F855*G855,2)</f>
        <v>2.21</v>
      </c>
    </row>
    <row r="856" spans="1:8" ht="36" x14ac:dyDescent="0.2">
      <c r="A856" s="47"/>
      <c r="B856" s="556"/>
      <c r="C856" s="594" t="s">
        <v>1357</v>
      </c>
      <c r="D856" s="516" t="s">
        <v>693</v>
      </c>
      <c r="E856" s="552" t="s">
        <v>22</v>
      </c>
      <c r="F856" s="595">
        <v>2</v>
      </c>
      <c r="G856" s="595">
        <v>15.58</v>
      </c>
      <c r="H856" s="398">
        <f>TRUNC(F856*G856,2)</f>
        <v>31.16</v>
      </c>
    </row>
    <row r="857" spans="1:8" x14ac:dyDescent="0.2">
      <c r="A857" s="47"/>
      <c r="B857" s="556"/>
      <c r="C857" s="594" t="s">
        <v>1184</v>
      </c>
      <c r="D857" s="516" t="s">
        <v>39</v>
      </c>
      <c r="E857" s="552" t="s">
        <v>37</v>
      </c>
      <c r="F857" s="595">
        <v>0.44</v>
      </c>
      <c r="G857" s="595">
        <f>TRUNC(21.86,2)</f>
        <v>21.86</v>
      </c>
      <c r="H857" s="398">
        <f>TRUNC(F857*G857,2)</f>
        <v>9.61</v>
      </c>
    </row>
    <row r="858" spans="1:8" ht="24" x14ac:dyDescent="0.2">
      <c r="A858" s="47"/>
      <c r="B858" s="556"/>
      <c r="C858" s="594" t="s">
        <v>1199</v>
      </c>
      <c r="D858" s="516" t="s">
        <v>224</v>
      </c>
      <c r="E858" s="552" t="s">
        <v>37</v>
      </c>
      <c r="F858" s="595">
        <v>0.78</v>
      </c>
      <c r="G858" s="595">
        <f>TRUNC(27.24,2)</f>
        <v>27.24</v>
      </c>
      <c r="H858" s="398">
        <f>TRUNC(F858*G858,2)</f>
        <v>21.24</v>
      </c>
    </row>
    <row r="859" spans="1:8" x14ac:dyDescent="0.2">
      <c r="A859" s="47"/>
      <c r="B859" s="556"/>
      <c r="C859" s="594"/>
      <c r="D859" s="516"/>
      <c r="E859" s="552"/>
      <c r="F859" s="595" t="s">
        <v>38</v>
      </c>
      <c r="G859" s="595"/>
      <c r="H859" s="398">
        <f>TRUNC(SUM(H852:H858),2)</f>
        <v>1079.8699999999999</v>
      </c>
    </row>
    <row r="860" spans="1:8" ht="72" x14ac:dyDescent="0.2">
      <c r="A860" s="47"/>
      <c r="B860" s="556" t="s">
        <v>1125</v>
      </c>
      <c r="C860" s="594" t="s">
        <v>701</v>
      </c>
      <c r="D860" s="516" t="s">
        <v>702</v>
      </c>
      <c r="E860" s="516" t="s">
        <v>22</v>
      </c>
      <c r="F860" s="516">
        <v>1</v>
      </c>
      <c r="G860" s="516">
        <f>TRUNC(H864,2)</f>
        <v>129.32</v>
      </c>
      <c r="H860" s="260">
        <f>TRUNC(F860*G860,2)</f>
        <v>129.32</v>
      </c>
    </row>
    <row r="861" spans="1:8" ht="24" x14ac:dyDescent="0.2">
      <c r="A861" s="47"/>
      <c r="B861" s="556"/>
      <c r="C861" s="594" t="s">
        <v>703</v>
      </c>
      <c r="D861" s="516" t="s">
        <v>704</v>
      </c>
      <c r="E861" s="516" t="s">
        <v>22</v>
      </c>
      <c r="F861" s="516">
        <v>1</v>
      </c>
      <c r="G861" s="516">
        <f>TRUNC(92.33,2)</f>
        <v>92.33</v>
      </c>
      <c r="H861" s="260">
        <f>TRUNC(F861*G861,2)</f>
        <v>92.33</v>
      </c>
    </row>
    <row r="862" spans="1:8" ht="24" x14ac:dyDescent="0.2">
      <c r="A862" s="47"/>
      <c r="B862" s="556"/>
      <c r="C862" s="594" t="s">
        <v>35</v>
      </c>
      <c r="D862" s="516" t="s">
        <v>36</v>
      </c>
      <c r="E862" s="516" t="s">
        <v>37</v>
      </c>
      <c r="F862" s="516">
        <v>1.03</v>
      </c>
      <c r="G862" s="516">
        <f>TRUNC(15.09,2)</f>
        <v>15.09</v>
      </c>
      <c r="H862" s="260">
        <f>TRUNC(F862*G862,2)</f>
        <v>15.54</v>
      </c>
    </row>
    <row r="863" spans="1:8" ht="24" x14ac:dyDescent="0.2">
      <c r="A863" s="47"/>
      <c r="B863" s="556"/>
      <c r="C863" s="594" t="s">
        <v>376</v>
      </c>
      <c r="D863" s="516" t="s">
        <v>377</v>
      </c>
      <c r="E863" s="516" t="s">
        <v>37</v>
      </c>
      <c r="F863" s="516">
        <v>1.03</v>
      </c>
      <c r="G863" s="516">
        <f>TRUNC(20.83,2)</f>
        <v>20.83</v>
      </c>
      <c r="H863" s="260">
        <f>TRUNC(F863*G863,2)</f>
        <v>21.45</v>
      </c>
    </row>
    <row r="864" spans="1:8" x14ac:dyDescent="0.2">
      <c r="A864" s="47"/>
      <c r="B864" s="556"/>
      <c r="C864" s="594"/>
      <c r="D864" s="516"/>
      <c r="E864" s="516"/>
      <c r="F864" s="516" t="s">
        <v>38</v>
      </c>
      <c r="G864" s="516"/>
      <c r="H864" s="260">
        <f>TRUNC(SUM(H861:H863),2)</f>
        <v>129.32</v>
      </c>
    </row>
    <row r="865" spans="1:8" ht="72" x14ac:dyDescent="0.2">
      <c r="A865" s="47"/>
      <c r="B865" s="556" t="s">
        <v>1126</v>
      </c>
      <c r="C865" s="594" t="s">
        <v>674</v>
      </c>
      <c r="D865" s="516" t="s">
        <v>675</v>
      </c>
      <c r="E865" s="516" t="s">
        <v>22</v>
      </c>
      <c r="F865" s="516">
        <v>1</v>
      </c>
      <c r="G865" s="516">
        <f>TRUNC(H869,2)</f>
        <v>107.77</v>
      </c>
      <c r="H865" s="260">
        <f>TRUNC(F865*G865,2)</f>
        <v>107.77</v>
      </c>
    </row>
    <row r="866" spans="1:8" ht="24" x14ac:dyDescent="0.2">
      <c r="A866" s="47"/>
      <c r="B866" s="556"/>
      <c r="C866" s="594" t="s">
        <v>676</v>
      </c>
      <c r="D866" s="516" t="s">
        <v>677</v>
      </c>
      <c r="E866" s="516" t="s">
        <v>22</v>
      </c>
      <c r="F866" s="516">
        <v>1</v>
      </c>
      <c r="G866" s="516">
        <f>TRUNC(70.78,2)</f>
        <v>70.78</v>
      </c>
      <c r="H866" s="260">
        <f>TRUNC(F866*G866,2)</f>
        <v>70.78</v>
      </c>
    </row>
    <row r="867" spans="1:8" ht="24" x14ac:dyDescent="0.2">
      <c r="A867" s="47"/>
      <c r="B867" s="556"/>
      <c r="C867" s="594" t="s">
        <v>35</v>
      </c>
      <c r="D867" s="516" t="s">
        <v>36</v>
      </c>
      <c r="E867" s="516" t="s">
        <v>37</v>
      </c>
      <c r="F867" s="516">
        <v>1.03</v>
      </c>
      <c r="G867" s="516">
        <f>TRUNC(15.09,2)</f>
        <v>15.09</v>
      </c>
      <c r="H867" s="260">
        <f>TRUNC(F867*G867,2)</f>
        <v>15.54</v>
      </c>
    </row>
    <row r="868" spans="1:8" ht="24" x14ac:dyDescent="0.2">
      <c r="A868" s="47"/>
      <c r="B868" s="556"/>
      <c r="C868" s="594" t="s">
        <v>376</v>
      </c>
      <c r="D868" s="516" t="s">
        <v>377</v>
      </c>
      <c r="E868" s="516" t="s">
        <v>37</v>
      </c>
      <c r="F868" s="516">
        <v>1.03</v>
      </c>
      <c r="G868" s="516">
        <f>TRUNC(20.83,2)</f>
        <v>20.83</v>
      </c>
      <c r="H868" s="260">
        <f>TRUNC(F868*G868,2)</f>
        <v>21.45</v>
      </c>
    </row>
    <row r="869" spans="1:8" x14ac:dyDescent="0.2">
      <c r="A869" s="47"/>
      <c r="B869" s="556"/>
      <c r="C869" s="594"/>
      <c r="D869" s="516"/>
      <c r="E869" s="516"/>
      <c r="F869" s="516" t="s">
        <v>38</v>
      </c>
      <c r="G869" s="516"/>
      <c r="H869" s="260">
        <f>TRUNC(SUM(H866:H868),2)</f>
        <v>107.77</v>
      </c>
    </row>
    <row r="870" spans="1:8" x14ac:dyDescent="0.2">
      <c r="A870" s="47"/>
      <c r="B870" s="550"/>
      <c r="C870" s="594"/>
      <c r="D870" s="596"/>
      <c r="E870" s="596"/>
      <c r="F870" s="596"/>
      <c r="G870" s="596"/>
      <c r="H870" s="500"/>
    </row>
    <row r="871" spans="1:8" x14ac:dyDescent="0.2">
      <c r="A871" s="47"/>
      <c r="B871" s="618"/>
      <c r="C871" s="619"/>
      <c r="D871" s="596"/>
      <c r="E871" s="596"/>
      <c r="F871" s="596"/>
      <c r="G871" s="596"/>
      <c r="H871" s="501"/>
    </row>
    <row r="872" spans="1:8" x14ac:dyDescent="0.2">
      <c r="A872" s="47"/>
      <c r="B872" s="618"/>
      <c r="C872" s="619"/>
      <c r="D872" s="596"/>
      <c r="E872" s="596"/>
      <c r="F872" s="596"/>
      <c r="G872" s="596"/>
      <c r="H872" s="501"/>
    </row>
    <row r="873" spans="1:8" ht="16.5" thickBot="1" x14ac:dyDescent="0.25">
      <c r="A873" s="47"/>
      <c r="B873" s="618"/>
      <c r="C873" s="619"/>
      <c r="D873" s="596"/>
      <c r="E873" s="596"/>
      <c r="F873" s="596"/>
      <c r="G873" s="596"/>
      <c r="H873" s="501"/>
    </row>
    <row r="874" spans="1:8" x14ac:dyDescent="0.2">
      <c r="A874" s="47"/>
      <c r="B874" s="551"/>
      <c r="C874" s="399" t="s">
        <v>705</v>
      </c>
      <c r="D874" s="400" t="s">
        <v>706</v>
      </c>
      <c r="E874" s="400" t="s">
        <v>22</v>
      </c>
      <c r="F874" s="400">
        <v>1</v>
      </c>
      <c r="G874" s="400">
        <f>TRUNC(H876,2)</f>
        <v>37.28</v>
      </c>
      <c r="H874" s="401">
        <f>TRUNC(F874*G874,2)</f>
        <v>37.28</v>
      </c>
    </row>
    <row r="875" spans="1:8" ht="18" customHeight="1" x14ac:dyDescent="0.2">
      <c r="A875" s="47"/>
      <c r="B875" s="551"/>
      <c r="C875" s="475" t="s">
        <v>707</v>
      </c>
      <c r="D875" s="344" t="s">
        <v>708</v>
      </c>
      <c r="E875" s="344" t="s">
        <v>22</v>
      </c>
      <c r="F875" s="344">
        <v>1</v>
      </c>
      <c r="G875" s="344">
        <f>TRUNC(37.28,2)</f>
        <v>37.28</v>
      </c>
      <c r="H875" s="476">
        <f>TRUNC(F875*G875,2)</f>
        <v>37.28</v>
      </c>
    </row>
    <row r="876" spans="1:8" x14ac:dyDescent="0.2">
      <c r="A876" s="47"/>
      <c r="B876" s="551"/>
      <c r="C876" s="475"/>
      <c r="D876" s="344"/>
      <c r="E876" s="344"/>
      <c r="F876" s="344" t="s">
        <v>38</v>
      </c>
      <c r="G876" s="344"/>
      <c r="H876" s="476">
        <f>TRUNC(SUM(H875:H875),2)</f>
        <v>37.28</v>
      </c>
    </row>
    <row r="877" spans="1:8" x14ac:dyDescent="0.2">
      <c r="A877" s="47"/>
      <c r="B877" s="551"/>
      <c r="C877" s="402" t="s">
        <v>709</v>
      </c>
      <c r="D877" s="76" t="s">
        <v>710</v>
      </c>
      <c r="E877" s="76" t="s">
        <v>22</v>
      </c>
      <c r="F877" s="76">
        <v>1</v>
      </c>
      <c r="G877" s="76">
        <f>TRUNC(H887,2)</f>
        <v>141.63</v>
      </c>
      <c r="H877" s="403">
        <f t="shared" ref="H877:H886" si="46">TRUNC(F877*G877,2)</f>
        <v>141.63</v>
      </c>
    </row>
    <row r="878" spans="1:8" x14ac:dyDescent="0.2">
      <c r="A878" s="47"/>
      <c r="B878" s="551"/>
      <c r="C878" s="402" t="s">
        <v>711</v>
      </c>
      <c r="D878" s="76" t="s">
        <v>712</v>
      </c>
      <c r="E878" s="76" t="s">
        <v>22</v>
      </c>
      <c r="F878" s="76">
        <v>1</v>
      </c>
      <c r="G878" s="76">
        <f>TRUNC(3.5907,2)</f>
        <v>3.59</v>
      </c>
      <c r="H878" s="403">
        <f t="shared" si="46"/>
        <v>3.59</v>
      </c>
    </row>
    <row r="879" spans="1:8" x14ac:dyDescent="0.2">
      <c r="A879" s="47"/>
      <c r="B879" s="551"/>
      <c r="C879" s="402" t="s">
        <v>713</v>
      </c>
      <c r="D879" s="76" t="s">
        <v>714</v>
      </c>
      <c r="E879" s="76" t="s">
        <v>22</v>
      </c>
      <c r="F879" s="76">
        <v>1</v>
      </c>
      <c r="G879" s="76">
        <f>TRUNC(0.4746,2)</f>
        <v>0.47</v>
      </c>
      <c r="H879" s="403">
        <f t="shared" si="46"/>
        <v>0.47</v>
      </c>
    </row>
    <row r="880" spans="1:8" x14ac:dyDescent="0.2">
      <c r="A880" s="47"/>
      <c r="B880" s="551"/>
      <c r="C880" s="402" t="s">
        <v>715</v>
      </c>
      <c r="D880" s="76" t="s">
        <v>716</v>
      </c>
      <c r="E880" s="76" t="s">
        <v>22</v>
      </c>
      <c r="F880" s="76">
        <v>1</v>
      </c>
      <c r="G880" s="76">
        <f>TRUNC(0.7532,2)</f>
        <v>0.75</v>
      </c>
      <c r="H880" s="403">
        <f t="shared" si="46"/>
        <v>0.75</v>
      </c>
    </row>
    <row r="881" spans="1:8" x14ac:dyDescent="0.2">
      <c r="A881" s="47"/>
      <c r="B881" s="551"/>
      <c r="C881" s="402" t="s">
        <v>717</v>
      </c>
      <c r="D881" s="76" t="s">
        <v>718</v>
      </c>
      <c r="E881" s="76" t="s">
        <v>22</v>
      </c>
      <c r="F881" s="76">
        <v>0.03</v>
      </c>
      <c r="G881" s="76">
        <f>TRUNC(34.03,2)</f>
        <v>34.03</v>
      </c>
      <c r="H881" s="403">
        <f t="shared" si="46"/>
        <v>1.02</v>
      </c>
    </row>
    <row r="882" spans="1:8" x14ac:dyDescent="0.2">
      <c r="A882" s="47"/>
      <c r="B882" s="551"/>
      <c r="C882" s="402" t="s">
        <v>248</v>
      </c>
      <c r="D882" s="76" t="s">
        <v>249</v>
      </c>
      <c r="E882" s="76" t="s">
        <v>22</v>
      </c>
      <c r="F882" s="76">
        <v>0.5</v>
      </c>
      <c r="G882" s="76">
        <f>TRUNC(11.1022,2)</f>
        <v>11.1</v>
      </c>
      <c r="H882" s="403">
        <f t="shared" si="46"/>
        <v>5.55</v>
      </c>
    </row>
    <row r="883" spans="1:8" x14ac:dyDescent="0.2">
      <c r="A883" s="47"/>
      <c r="B883" s="551"/>
      <c r="C883" s="402" t="s">
        <v>719</v>
      </c>
      <c r="D883" s="76" t="s">
        <v>720</v>
      </c>
      <c r="E883" s="76" t="s">
        <v>22</v>
      </c>
      <c r="F883" s="76">
        <v>0.2</v>
      </c>
      <c r="G883" s="76">
        <f>TRUNC(0.72,2)</f>
        <v>0.72</v>
      </c>
      <c r="H883" s="403">
        <f t="shared" si="46"/>
        <v>0.14000000000000001</v>
      </c>
    </row>
    <row r="884" spans="1:8" x14ac:dyDescent="0.2">
      <c r="A884" s="47"/>
      <c r="B884" s="551"/>
      <c r="C884" s="402" t="s">
        <v>45</v>
      </c>
      <c r="D884" s="76" t="s">
        <v>46</v>
      </c>
      <c r="E884" s="76" t="s">
        <v>22</v>
      </c>
      <c r="F884" s="76">
        <v>0.2</v>
      </c>
      <c r="G884" s="76">
        <f>TRUNC(3.17,2)</f>
        <v>3.17</v>
      </c>
      <c r="H884" s="403">
        <f t="shared" si="46"/>
        <v>0.63</v>
      </c>
    </row>
    <row r="885" spans="1:8" x14ac:dyDescent="0.2">
      <c r="A885" s="47"/>
      <c r="B885" s="551"/>
      <c r="C885" s="402" t="s">
        <v>35</v>
      </c>
      <c r="D885" s="76" t="s">
        <v>36</v>
      </c>
      <c r="E885" s="76" t="s">
        <v>37</v>
      </c>
      <c r="F885" s="76">
        <v>3.605</v>
      </c>
      <c r="G885" s="76">
        <f>TRUNC(15.09,2)</f>
        <v>15.09</v>
      </c>
      <c r="H885" s="403">
        <f t="shared" si="46"/>
        <v>54.39</v>
      </c>
    </row>
    <row r="886" spans="1:8" x14ac:dyDescent="0.2">
      <c r="A886" s="47"/>
      <c r="B886" s="551"/>
      <c r="C886" s="402" t="s">
        <v>209</v>
      </c>
      <c r="D886" s="76" t="s">
        <v>210</v>
      </c>
      <c r="E886" s="76" t="s">
        <v>37</v>
      </c>
      <c r="F886" s="76">
        <v>3.605</v>
      </c>
      <c r="G886" s="76">
        <f>TRUNC(20.83,2)</f>
        <v>20.83</v>
      </c>
      <c r="H886" s="403">
        <f t="shared" si="46"/>
        <v>75.09</v>
      </c>
    </row>
    <row r="887" spans="1:8" x14ac:dyDescent="0.2">
      <c r="A887" s="47"/>
      <c r="B887" s="551"/>
      <c r="C887" s="402"/>
      <c r="D887" s="76"/>
      <c r="E887" s="76"/>
      <c r="F887" s="76" t="s">
        <v>38</v>
      </c>
      <c r="G887" s="76"/>
      <c r="H887" s="403">
        <f>TRUNC(SUM(H878:H886),2)</f>
        <v>141.63</v>
      </c>
    </row>
    <row r="888" spans="1:8" x14ac:dyDescent="0.2">
      <c r="A888" s="47"/>
      <c r="B888" s="551"/>
      <c r="C888" s="597"/>
      <c r="D888" s="542"/>
      <c r="E888" s="542"/>
      <c r="F888" s="542"/>
      <c r="G888" s="542"/>
      <c r="H888" s="404"/>
    </row>
    <row r="889" spans="1:8" x14ac:dyDescent="0.2">
      <c r="A889" s="47"/>
      <c r="B889" s="551" t="s">
        <v>1127</v>
      </c>
      <c r="C889" s="597"/>
      <c r="D889" s="598" t="s">
        <v>721</v>
      </c>
      <c r="E889" s="542"/>
      <c r="F889" s="542"/>
      <c r="G889" s="542"/>
      <c r="H889" s="405">
        <f>G874+G877</f>
        <v>178.91</v>
      </c>
    </row>
    <row r="890" spans="1:8" ht="16.5" thickBot="1" x14ac:dyDescent="0.25">
      <c r="A890" s="47"/>
      <c r="B890" s="551"/>
      <c r="C890" s="599"/>
      <c r="D890" s="583"/>
      <c r="E890" s="583"/>
      <c r="F890" s="583"/>
      <c r="G890" s="583"/>
      <c r="H890" s="406"/>
    </row>
    <row r="891" spans="1:8" x14ac:dyDescent="0.2">
      <c r="A891" s="47"/>
      <c r="B891" s="492"/>
      <c r="C891" s="600"/>
      <c r="D891" s="564"/>
      <c r="E891" s="564"/>
      <c r="F891" s="564"/>
      <c r="G891" s="564"/>
      <c r="H891" s="294"/>
    </row>
    <row r="892" spans="1:8" ht="24" x14ac:dyDescent="0.2">
      <c r="A892" s="47"/>
      <c r="B892" s="556" t="s">
        <v>1128</v>
      </c>
      <c r="C892" s="76" t="s">
        <v>1358</v>
      </c>
      <c r="D892" s="477" t="s">
        <v>740</v>
      </c>
      <c r="E892" s="76" t="s">
        <v>22</v>
      </c>
      <c r="F892" s="76">
        <v>1</v>
      </c>
      <c r="G892" s="76">
        <f>TRUNC(H897,2)</f>
        <v>75.23</v>
      </c>
      <c r="H892" s="76">
        <f>TRUNC(F892*G892,2)</f>
        <v>75.23</v>
      </c>
    </row>
    <row r="893" spans="1:8" x14ac:dyDescent="0.2">
      <c r="A893" s="47"/>
      <c r="B893" s="556"/>
      <c r="C893" s="76" t="s">
        <v>1327</v>
      </c>
      <c r="D893" s="477" t="s">
        <v>265</v>
      </c>
      <c r="E893" s="76" t="s">
        <v>22</v>
      </c>
      <c r="F893" s="76">
        <v>0.01</v>
      </c>
      <c r="G893" s="76">
        <f>TRUNC(10.8,2)</f>
        <v>10.8</v>
      </c>
      <c r="H893" s="76">
        <f>TRUNC(F893*G893,2)</f>
        <v>0.1</v>
      </c>
    </row>
    <row r="894" spans="1:8" ht="24" x14ac:dyDescent="0.2">
      <c r="A894" s="47"/>
      <c r="B894" s="556"/>
      <c r="C894" s="76" t="s">
        <v>1359</v>
      </c>
      <c r="D894" s="477" t="s">
        <v>741</v>
      </c>
      <c r="E894" s="76" t="s">
        <v>22</v>
      </c>
      <c r="F894" s="76">
        <v>1</v>
      </c>
      <c r="G894" s="76">
        <f>TRUNC(56,2)</f>
        <v>56</v>
      </c>
      <c r="H894" s="76">
        <f>TRUNC(F894*G894,2)</f>
        <v>56</v>
      </c>
    </row>
    <row r="895" spans="1:8" x14ac:dyDescent="0.2">
      <c r="A895" s="47"/>
      <c r="B895" s="556"/>
      <c r="C895" s="76" t="s">
        <v>1184</v>
      </c>
      <c r="D895" s="477" t="s">
        <v>39</v>
      </c>
      <c r="E895" s="76" t="s">
        <v>37</v>
      </c>
      <c r="F895" s="76">
        <v>0.3</v>
      </c>
      <c r="G895" s="76">
        <f>TRUNC(21.86,2)</f>
        <v>21.86</v>
      </c>
      <c r="H895" s="76">
        <f>TRUNC(F895*G895,2)</f>
        <v>6.55</v>
      </c>
    </row>
    <row r="896" spans="1:8" x14ac:dyDescent="0.2">
      <c r="A896" s="47"/>
      <c r="B896" s="556"/>
      <c r="C896" s="76" t="s">
        <v>1202</v>
      </c>
      <c r="D896" s="477" t="s">
        <v>49</v>
      </c>
      <c r="E896" s="76" t="s">
        <v>37</v>
      </c>
      <c r="F896" s="76">
        <v>0.45</v>
      </c>
      <c r="G896" s="76">
        <f>TRUNC(27.97,2)</f>
        <v>27.97</v>
      </c>
      <c r="H896" s="76">
        <f>TRUNC(F896*G896,2)</f>
        <v>12.58</v>
      </c>
    </row>
    <row r="897" spans="1:8" x14ac:dyDescent="0.2">
      <c r="A897" s="47"/>
      <c r="B897" s="556"/>
      <c r="C897" s="76"/>
      <c r="D897" s="477"/>
      <c r="E897" s="76"/>
      <c r="F897" s="76" t="s">
        <v>38</v>
      </c>
      <c r="G897" s="76"/>
      <c r="H897" s="76">
        <f>TRUNC(SUM(H893:H896),2)</f>
        <v>75.23</v>
      </c>
    </row>
    <row r="898" spans="1:8" ht="24" x14ac:dyDescent="0.2">
      <c r="A898" s="47"/>
      <c r="B898" s="556" t="s">
        <v>1129</v>
      </c>
      <c r="C898" s="76" t="s">
        <v>1360</v>
      </c>
      <c r="D898" s="477" t="s">
        <v>724</v>
      </c>
      <c r="E898" s="76" t="s">
        <v>22</v>
      </c>
      <c r="F898" s="76">
        <v>1</v>
      </c>
      <c r="G898" s="76">
        <f>TRUNC(H901,2)</f>
        <v>40.18</v>
      </c>
      <c r="H898" s="76">
        <f>TRUNC(F898*G898,2)</f>
        <v>40.18</v>
      </c>
    </row>
    <row r="899" spans="1:8" ht="24" x14ac:dyDescent="0.2">
      <c r="A899" s="47"/>
      <c r="B899" s="556"/>
      <c r="C899" s="76" t="s">
        <v>1361</v>
      </c>
      <c r="D899" s="477" t="s">
        <v>725</v>
      </c>
      <c r="E899" s="76" t="s">
        <v>22</v>
      </c>
      <c r="F899" s="76">
        <v>1</v>
      </c>
      <c r="G899" s="76">
        <f>TRUNC(35.29,2)</f>
        <v>35.29</v>
      </c>
      <c r="H899" s="76">
        <f>TRUNC(F899*G899,2)</f>
        <v>35.29</v>
      </c>
    </row>
    <row r="900" spans="1:8" ht="24" x14ac:dyDescent="0.2">
      <c r="A900" s="47"/>
      <c r="B900" s="556"/>
      <c r="C900" s="76" t="s">
        <v>1362</v>
      </c>
      <c r="D900" s="477" t="s">
        <v>1363</v>
      </c>
      <c r="E900" s="76" t="s">
        <v>22</v>
      </c>
      <c r="F900" s="76">
        <v>1</v>
      </c>
      <c r="G900" s="76">
        <f>TRUNC(4.89,2)</f>
        <v>4.8899999999999997</v>
      </c>
      <c r="H900" s="76">
        <f>TRUNC(F900*G900,2)</f>
        <v>4.8899999999999997</v>
      </c>
    </row>
    <row r="901" spans="1:8" x14ac:dyDescent="0.2">
      <c r="A901" s="47"/>
      <c r="B901" s="556"/>
      <c r="C901" s="76"/>
      <c r="D901" s="477"/>
      <c r="E901" s="76"/>
      <c r="F901" s="76" t="s">
        <v>38</v>
      </c>
      <c r="G901" s="76"/>
      <c r="H901" s="76">
        <f>TRUNC(SUM(H899:H900),2)</f>
        <v>40.18</v>
      </c>
    </row>
    <row r="902" spans="1:8" ht="36" x14ac:dyDescent="0.2">
      <c r="A902" s="47"/>
      <c r="B902" s="556" t="s">
        <v>1130</v>
      </c>
      <c r="C902" s="76" t="s">
        <v>880</v>
      </c>
      <c r="D902" s="477" t="s">
        <v>881</v>
      </c>
      <c r="E902" s="76" t="s">
        <v>22</v>
      </c>
      <c r="F902" s="76">
        <v>1</v>
      </c>
      <c r="G902" s="76">
        <f>TRUNC(H905,2)</f>
        <v>37.19</v>
      </c>
      <c r="H902" s="76">
        <f>TRUNC(F902*G902,2)</f>
        <v>37.19</v>
      </c>
    </row>
    <row r="903" spans="1:8" x14ac:dyDescent="0.2">
      <c r="A903" s="47"/>
      <c r="B903" s="556"/>
      <c r="C903" s="76" t="s">
        <v>882</v>
      </c>
      <c r="D903" s="477" t="s">
        <v>883</v>
      </c>
      <c r="E903" s="76" t="s">
        <v>22</v>
      </c>
      <c r="F903" s="76">
        <v>1</v>
      </c>
      <c r="G903" s="76">
        <f>TRUNC(25.65,2)</f>
        <v>25.65</v>
      </c>
      <c r="H903" s="76">
        <f>TRUNC(F903*G903,2)</f>
        <v>25.65</v>
      </c>
    </row>
    <row r="904" spans="1:8" ht="24" x14ac:dyDescent="0.2">
      <c r="A904" s="47"/>
      <c r="B904" s="556"/>
      <c r="C904" s="76" t="s">
        <v>884</v>
      </c>
      <c r="D904" s="477" t="s">
        <v>885</v>
      </c>
      <c r="E904" s="76" t="s">
        <v>37</v>
      </c>
      <c r="F904" s="76">
        <v>0.51500000000000001</v>
      </c>
      <c r="G904" s="76">
        <f>TRUNC(22.42,2)</f>
        <v>22.42</v>
      </c>
      <c r="H904" s="76">
        <f>TRUNC(F904*G904,2)</f>
        <v>11.54</v>
      </c>
    </row>
    <row r="905" spans="1:8" x14ac:dyDescent="0.2">
      <c r="A905" s="47"/>
      <c r="B905" s="556"/>
      <c r="C905" s="76"/>
      <c r="D905" s="76"/>
      <c r="E905" s="76"/>
      <c r="F905" s="76" t="s">
        <v>38</v>
      </c>
      <c r="G905" s="76"/>
      <c r="H905" s="76">
        <f>TRUNC(SUM(H903:H904),2)</f>
        <v>37.19</v>
      </c>
    </row>
    <row r="906" spans="1:8" ht="24" x14ac:dyDescent="0.2">
      <c r="A906" s="47"/>
      <c r="B906" s="556" t="s">
        <v>1131</v>
      </c>
      <c r="C906" s="76" t="s">
        <v>1364</v>
      </c>
      <c r="D906" s="477" t="s">
        <v>727</v>
      </c>
      <c r="E906" s="76" t="s">
        <v>22</v>
      </c>
      <c r="F906" s="76">
        <v>1</v>
      </c>
      <c r="G906" s="76">
        <f>TRUNC(H909,2)</f>
        <v>51.76</v>
      </c>
      <c r="H906" s="76">
        <f>TRUNC(F906*G906,2)</f>
        <v>51.76</v>
      </c>
    </row>
    <row r="907" spans="1:8" ht="24" x14ac:dyDescent="0.2">
      <c r="A907" s="47"/>
      <c r="B907" s="556"/>
      <c r="C907" s="76" t="s">
        <v>1365</v>
      </c>
      <c r="D907" s="477" t="s">
        <v>728</v>
      </c>
      <c r="E907" s="76" t="s">
        <v>22</v>
      </c>
      <c r="F907" s="76">
        <v>1</v>
      </c>
      <c r="G907" s="76">
        <f>TRUNC(41.98,2)</f>
        <v>41.98</v>
      </c>
      <c r="H907" s="76">
        <f>TRUNC(F907*G907,2)</f>
        <v>41.98</v>
      </c>
    </row>
    <row r="908" spans="1:8" ht="24" x14ac:dyDescent="0.2">
      <c r="A908" s="47"/>
      <c r="B908" s="556"/>
      <c r="C908" s="76" t="s">
        <v>1362</v>
      </c>
      <c r="D908" s="477" t="s">
        <v>1363</v>
      </c>
      <c r="E908" s="76" t="s">
        <v>22</v>
      </c>
      <c r="F908" s="76">
        <v>2</v>
      </c>
      <c r="G908" s="76">
        <f>TRUNC(4.89,2)</f>
        <v>4.8899999999999997</v>
      </c>
      <c r="H908" s="76">
        <f>TRUNC(F908*G908,2)</f>
        <v>9.7799999999999994</v>
      </c>
    </row>
    <row r="909" spans="1:8" x14ac:dyDescent="0.2">
      <c r="A909" s="47"/>
      <c r="B909" s="556"/>
      <c r="C909" s="76"/>
      <c r="D909" s="76"/>
      <c r="E909" s="76"/>
      <c r="F909" s="76" t="s">
        <v>38</v>
      </c>
      <c r="G909" s="76"/>
      <c r="H909" s="76">
        <f>TRUNC(SUM(H907:H908),2)</f>
        <v>51.76</v>
      </c>
    </row>
    <row r="910" spans="1:8" s="479" customFormat="1" ht="36" x14ac:dyDescent="0.2">
      <c r="A910" s="478"/>
      <c r="B910" s="556" t="s">
        <v>1132</v>
      </c>
      <c r="C910" s="477" t="s">
        <v>1366</v>
      </c>
      <c r="D910" s="477" t="s">
        <v>730</v>
      </c>
      <c r="E910" s="477" t="s">
        <v>22</v>
      </c>
      <c r="F910" s="477">
        <v>1</v>
      </c>
      <c r="G910" s="477">
        <f>TRUNC(H913,2)</f>
        <v>47.68</v>
      </c>
      <c r="H910" s="477">
        <f>TRUNC(F910*G910,2)</f>
        <v>47.68</v>
      </c>
    </row>
    <row r="911" spans="1:8" s="479" customFormat="1" ht="24" x14ac:dyDescent="0.2">
      <c r="A911" s="478"/>
      <c r="B911" s="556"/>
      <c r="C911" s="477" t="s">
        <v>1367</v>
      </c>
      <c r="D911" s="477" t="s">
        <v>731</v>
      </c>
      <c r="E911" s="477" t="s">
        <v>22</v>
      </c>
      <c r="F911" s="477">
        <v>1</v>
      </c>
      <c r="G911" s="477">
        <f>TRUNC(37.9,2)</f>
        <v>37.9</v>
      </c>
      <c r="H911" s="477">
        <f>TRUNC(F911*G911,2)</f>
        <v>37.9</v>
      </c>
    </row>
    <row r="912" spans="1:8" s="479" customFormat="1" ht="24" x14ac:dyDescent="0.2">
      <c r="A912" s="478"/>
      <c r="B912" s="556"/>
      <c r="C912" s="477" t="s">
        <v>1362</v>
      </c>
      <c r="D912" s="477" t="s">
        <v>1363</v>
      </c>
      <c r="E912" s="477" t="s">
        <v>22</v>
      </c>
      <c r="F912" s="477">
        <v>2</v>
      </c>
      <c r="G912" s="477">
        <f>TRUNC(4.89,2)</f>
        <v>4.8899999999999997</v>
      </c>
      <c r="H912" s="477">
        <f>TRUNC(F912*G912,2)</f>
        <v>9.7799999999999994</v>
      </c>
    </row>
    <row r="913" spans="1:8" s="479" customFormat="1" x14ac:dyDescent="0.2">
      <c r="A913" s="478"/>
      <c r="B913" s="556"/>
      <c r="C913" s="477"/>
      <c r="D913" s="477"/>
      <c r="E913" s="477"/>
      <c r="F913" s="477" t="s">
        <v>38</v>
      </c>
      <c r="G913" s="477"/>
      <c r="H913" s="477">
        <f>TRUNC(SUM(H911:H912),2)</f>
        <v>47.68</v>
      </c>
    </row>
    <row r="914" spans="1:8" s="479" customFormat="1" ht="36" x14ac:dyDescent="0.2">
      <c r="A914" s="478"/>
      <c r="B914" s="556" t="s">
        <v>1133</v>
      </c>
      <c r="C914" s="477" t="s">
        <v>1368</v>
      </c>
      <c r="D914" s="477" t="s">
        <v>733</v>
      </c>
      <c r="E914" s="477" t="s">
        <v>16</v>
      </c>
      <c r="F914" s="477">
        <v>1</v>
      </c>
      <c r="G914" s="477">
        <f>TRUNC(H921,2)</f>
        <v>375.8</v>
      </c>
      <c r="H914" s="477">
        <f t="shared" ref="H914:H920" si="47">TRUNC(F914*G914,2)</f>
        <v>375.8</v>
      </c>
    </row>
    <row r="915" spans="1:8" s="479" customFormat="1" x14ac:dyDescent="0.2">
      <c r="A915" s="478"/>
      <c r="B915" s="556"/>
      <c r="C915" s="477" t="s">
        <v>1369</v>
      </c>
      <c r="D915" s="477" t="s">
        <v>734</v>
      </c>
      <c r="E915" s="477" t="s">
        <v>16</v>
      </c>
      <c r="F915" s="477">
        <v>1</v>
      </c>
      <c r="G915" s="477">
        <f>TRUNC(229.33,2)</f>
        <v>229.33</v>
      </c>
      <c r="H915" s="477">
        <f t="shared" si="47"/>
        <v>229.33</v>
      </c>
    </row>
    <row r="916" spans="1:8" s="479" customFormat="1" ht="24" x14ac:dyDescent="0.2">
      <c r="A916" s="478"/>
      <c r="B916" s="556"/>
      <c r="C916" s="477" t="s">
        <v>1370</v>
      </c>
      <c r="D916" s="477" t="s">
        <v>735</v>
      </c>
      <c r="E916" s="477" t="s">
        <v>42</v>
      </c>
      <c r="F916" s="477">
        <v>0.18</v>
      </c>
      <c r="G916" s="477">
        <f>TRUNC(8.36,2)</f>
        <v>8.36</v>
      </c>
      <c r="H916" s="477">
        <f t="shared" si="47"/>
        <v>1.5</v>
      </c>
    </row>
    <row r="917" spans="1:8" s="479" customFormat="1" ht="24" x14ac:dyDescent="0.2">
      <c r="A917" s="478"/>
      <c r="B917" s="556"/>
      <c r="C917" s="477" t="s">
        <v>1371</v>
      </c>
      <c r="D917" s="477" t="s">
        <v>736</v>
      </c>
      <c r="E917" s="477" t="s">
        <v>16</v>
      </c>
      <c r="F917" s="477">
        <v>1.05</v>
      </c>
      <c r="G917" s="477">
        <f>TRUNC(21.18,2)</f>
        <v>21.18</v>
      </c>
      <c r="H917" s="477">
        <f t="shared" si="47"/>
        <v>22.23</v>
      </c>
    </row>
    <row r="918" spans="1:8" s="479" customFormat="1" ht="24" x14ac:dyDescent="0.2">
      <c r="A918" s="478"/>
      <c r="B918" s="556"/>
      <c r="C918" s="477" t="s">
        <v>1372</v>
      </c>
      <c r="D918" s="477" t="s">
        <v>737</v>
      </c>
      <c r="E918" s="477" t="s">
        <v>23</v>
      </c>
      <c r="F918" s="477">
        <v>1.54</v>
      </c>
      <c r="G918" s="477">
        <f>TRUNC(21.33,2)</f>
        <v>21.33</v>
      </c>
      <c r="H918" s="477">
        <f t="shared" si="47"/>
        <v>32.840000000000003</v>
      </c>
    </row>
    <row r="919" spans="1:8" s="479" customFormat="1" x14ac:dyDescent="0.2">
      <c r="A919" s="478"/>
      <c r="B919" s="556"/>
      <c r="C919" s="477" t="s">
        <v>1373</v>
      </c>
      <c r="D919" s="477" t="s">
        <v>738</v>
      </c>
      <c r="E919" s="477" t="s">
        <v>37</v>
      </c>
      <c r="F919" s="477">
        <v>1.8</v>
      </c>
      <c r="G919" s="477">
        <f>TRUNC(26.82,2)</f>
        <v>26.82</v>
      </c>
      <c r="H919" s="477">
        <f t="shared" si="47"/>
        <v>48.27</v>
      </c>
    </row>
    <row r="920" spans="1:8" s="479" customFormat="1" ht="24" x14ac:dyDescent="0.2">
      <c r="A920" s="478"/>
      <c r="B920" s="556"/>
      <c r="C920" s="477" t="s">
        <v>1374</v>
      </c>
      <c r="D920" s="477" t="s">
        <v>67</v>
      </c>
      <c r="E920" s="477" t="s">
        <v>37</v>
      </c>
      <c r="F920" s="477">
        <v>1.8</v>
      </c>
      <c r="G920" s="477">
        <f>TRUNC(23.13,2)</f>
        <v>23.13</v>
      </c>
      <c r="H920" s="477">
        <f t="shared" si="47"/>
        <v>41.63</v>
      </c>
    </row>
    <row r="921" spans="1:8" x14ac:dyDescent="0.2">
      <c r="A921" s="47"/>
      <c r="B921" s="556"/>
      <c r="C921" s="76"/>
      <c r="D921" s="76"/>
      <c r="E921" s="76"/>
      <c r="F921" s="76" t="s">
        <v>38</v>
      </c>
      <c r="G921" s="76"/>
      <c r="H921" s="76">
        <f>TRUNC(SUM(H915:H920),2)</f>
        <v>375.8</v>
      </c>
    </row>
    <row r="922" spans="1:8" ht="24" x14ac:dyDescent="0.2">
      <c r="A922" s="47"/>
      <c r="B922" s="556" t="s">
        <v>1134</v>
      </c>
      <c r="C922" s="76" t="s">
        <v>51</v>
      </c>
      <c r="D922" s="291" t="s">
        <v>742</v>
      </c>
      <c r="E922" s="212" t="s">
        <v>328</v>
      </c>
      <c r="F922" s="76"/>
      <c r="G922" s="76"/>
      <c r="H922" s="292">
        <v>180</v>
      </c>
    </row>
    <row r="923" spans="1:8" ht="25.5" customHeight="1" x14ac:dyDescent="0.2">
      <c r="A923" s="47"/>
      <c r="B923" s="556" t="s">
        <v>1135</v>
      </c>
      <c r="C923" s="76" t="s">
        <v>51</v>
      </c>
      <c r="D923" s="291" t="s">
        <v>743</v>
      </c>
      <c r="E923" s="212" t="s">
        <v>328</v>
      </c>
      <c r="F923" s="76"/>
      <c r="G923" s="76"/>
      <c r="H923" s="292">
        <v>180</v>
      </c>
    </row>
    <row r="924" spans="1:8" x14ac:dyDescent="0.2">
      <c r="A924" s="47"/>
      <c r="B924" s="556"/>
      <c r="C924" s="601"/>
      <c r="D924" s="542"/>
      <c r="E924" s="542"/>
      <c r="F924" s="542"/>
      <c r="G924" s="542"/>
      <c r="H924" s="260"/>
    </row>
    <row r="925" spans="1:8" ht="15" customHeight="1" x14ac:dyDescent="0.2">
      <c r="B925" s="508" t="s">
        <v>109</v>
      </c>
      <c r="C925" s="594"/>
      <c r="D925" s="513" t="s">
        <v>663</v>
      </c>
      <c r="E925" s="513"/>
      <c r="F925" s="602"/>
      <c r="G925" s="602"/>
      <c r="H925" s="602"/>
    </row>
    <row r="926" spans="1:8" ht="12" customHeight="1" x14ac:dyDescent="0.2">
      <c r="B926" s="508"/>
      <c r="C926" s="594"/>
      <c r="D926" s="603" t="s">
        <v>606</v>
      </c>
      <c r="E926" s="513"/>
      <c r="F926" s="602"/>
      <c r="G926" s="602"/>
      <c r="H926" s="602"/>
    </row>
    <row r="927" spans="1:8" ht="47.25" customHeight="1" x14ac:dyDescent="0.2">
      <c r="B927" s="604" t="s">
        <v>1176</v>
      </c>
      <c r="C927" s="594" t="s">
        <v>1375</v>
      </c>
      <c r="D927" s="516" t="s">
        <v>665</v>
      </c>
      <c r="E927" s="519" t="s">
        <v>16</v>
      </c>
      <c r="F927" s="605">
        <v>1</v>
      </c>
      <c r="G927" s="605">
        <f>TRUNC(H934,2)</f>
        <v>468.14</v>
      </c>
      <c r="H927" s="605">
        <f t="shared" ref="H927:H933" si="48">TRUNC(F927*G927,2)</f>
        <v>468.14</v>
      </c>
    </row>
    <row r="928" spans="1:8" ht="36" x14ac:dyDescent="0.2">
      <c r="B928" s="604"/>
      <c r="C928" s="594" t="s">
        <v>1376</v>
      </c>
      <c r="D928" s="516" t="s">
        <v>666</v>
      </c>
      <c r="E928" s="519" t="s">
        <v>22</v>
      </c>
      <c r="F928" s="605">
        <v>0.54730000000000001</v>
      </c>
      <c r="G928" s="605">
        <f>TRUNC(685.43,2)</f>
        <v>685.43</v>
      </c>
      <c r="H928" s="605">
        <f t="shared" si="48"/>
        <v>375.13</v>
      </c>
    </row>
    <row r="929" spans="2:8" ht="36" x14ac:dyDescent="0.2">
      <c r="B929" s="604"/>
      <c r="C929" s="594" t="s">
        <v>1377</v>
      </c>
      <c r="D929" s="516" t="s">
        <v>667</v>
      </c>
      <c r="E929" s="519" t="s">
        <v>18</v>
      </c>
      <c r="F929" s="605">
        <v>6.8503999999999996</v>
      </c>
      <c r="G929" s="605">
        <f>TRUNC(6.75,2)</f>
        <v>6.75</v>
      </c>
      <c r="H929" s="605">
        <f t="shared" si="48"/>
        <v>46.24</v>
      </c>
    </row>
    <row r="930" spans="2:8" ht="36" x14ac:dyDescent="0.2">
      <c r="B930" s="604"/>
      <c r="C930" s="594" t="s">
        <v>1337</v>
      </c>
      <c r="D930" s="516" t="s">
        <v>632</v>
      </c>
      <c r="E930" s="519" t="s">
        <v>22</v>
      </c>
      <c r="F930" s="605">
        <v>4.8166000000000002</v>
      </c>
      <c r="G930" s="605">
        <f>TRUNC(0.67,2)</f>
        <v>0.67</v>
      </c>
      <c r="H930" s="605">
        <f t="shared" si="48"/>
        <v>3.22</v>
      </c>
    </row>
    <row r="931" spans="2:8" ht="24" x14ac:dyDescent="0.2">
      <c r="B931" s="604"/>
      <c r="C931" s="594" t="s">
        <v>1378</v>
      </c>
      <c r="D931" s="516" t="s">
        <v>668</v>
      </c>
      <c r="E931" s="519" t="s">
        <v>669</v>
      </c>
      <c r="F931" s="605">
        <v>0.88290000000000002</v>
      </c>
      <c r="G931" s="605">
        <f>TRUNC(32.48,2)</f>
        <v>32.479999999999997</v>
      </c>
      <c r="H931" s="605">
        <f t="shared" si="48"/>
        <v>28.67</v>
      </c>
    </row>
    <row r="932" spans="2:8" ht="12" x14ac:dyDescent="0.2">
      <c r="B932" s="604"/>
      <c r="C932" s="594" t="s">
        <v>1184</v>
      </c>
      <c r="D932" s="516" t="s">
        <v>39</v>
      </c>
      <c r="E932" s="519" t="s">
        <v>37</v>
      </c>
      <c r="F932" s="605">
        <v>0.191</v>
      </c>
      <c r="G932" s="605">
        <f>TRUNC(21.86,2)</f>
        <v>21.86</v>
      </c>
      <c r="H932" s="605">
        <f t="shared" si="48"/>
        <v>4.17</v>
      </c>
    </row>
    <row r="933" spans="2:8" ht="12" x14ac:dyDescent="0.2">
      <c r="B933" s="604"/>
      <c r="C933" s="594" t="s">
        <v>1191</v>
      </c>
      <c r="D933" s="516" t="s">
        <v>47</v>
      </c>
      <c r="E933" s="519" t="s">
        <v>37</v>
      </c>
      <c r="F933" s="605">
        <v>0.3826</v>
      </c>
      <c r="G933" s="605">
        <f>TRUNC(28,2)</f>
        <v>28</v>
      </c>
      <c r="H933" s="605">
        <f t="shared" si="48"/>
        <v>10.71</v>
      </c>
    </row>
    <row r="934" spans="2:8" ht="12" x14ac:dyDescent="0.2">
      <c r="B934" s="604"/>
      <c r="C934" s="594"/>
      <c r="D934" s="516"/>
      <c r="E934" s="519"/>
      <c r="F934" s="605" t="s">
        <v>38</v>
      </c>
      <c r="G934" s="605"/>
      <c r="H934" s="605">
        <f>TRUNC(SUM(H928:H933),2)</f>
        <v>468.14</v>
      </c>
    </row>
    <row r="935" spans="2:8" ht="122.25" customHeight="1" x14ac:dyDescent="0.2">
      <c r="B935" s="508" t="s">
        <v>1138</v>
      </c>
      <c r="C935" s="509" t="s">
        <v>673</v>
      </c>
      <c r="D935" s="516" t="s">
        <v>1605</v>
      </c>
      <c r="E935" s="519" t="s">
        <v>22</v>
      </c>
      <c r="F935" s="605">
        <v>1</v>
      </c>
      <c r="G935" s="605">
        <f>TRUNC(H938,2)</f>
        <v>225.14</v>
      </c>
      <c r="H935" s="605">
        <f>TRUNC(F935*G935,2)</f>
        <v>225.14</v>
      </c>
    </row>
    <row r="936" spans="2:8" ht="36" x14ac:dyDescent="0.2">
      <c r="B936" s="508"/>
      <c r="C936" s="594" t="s">
        <v>670</v>
      </c>
      <c r="D936" s="516" t="s">
        <v>1379</v>
      </c>
      <c r="E936" s="519" t="s">
        <v>22</v>
      </c>
      <c r="F936" s="605">
        <v>1</v>
      </c>
      <c r="G936" s="605">
        <f>TRUNC(202.82,2)</f>
        <v>202.82</v>
      </c>
      <c r="H936" s="605">
        <f>TRUNC(F936*G936,2)</f>
        <v>202.82</v>
      </c>
    </row>
    <row r="937" spans="2:8" ht="24" x14ac:dyDescent="0.2">
      <c r="B937" s="508"/>
      <c r="C937" s="594" t="s">
        <v>671</v>
      </c>
      <c r="D937" s="516" t="s">
        <v>672</v>
      </c>
      <c r="E937" s="519" t="s">
        <v>22</v>
      </c>
      <c r="F937" s="605">
        <v>3</v>
      </c>
      <c r="G937" s="605">
        <f>TRUNC(7.44,2)</f>
        <v>7.44</v>
      </c>
      <c r="H937" s="605">
        <f>TRUNC(F937*G937,2)</f>
        <v>22.32</v>
      </c>
    </row>
    <row r="938" spans="2:8" x14ac:dyDescent="0.2">
      <c r="B938" s="508"/>
      <c r="C938" s="594"/>
      <c r="D938" s="516"/>
      <c r="E938" s="519"/>
      <c r="F938" s="605" t="s">
        <v>38</v>
      </c>
      <c r="G938" s="605"/>
      <c r="H938" s="605">
        <f>TRUNC(SUM(H936:H937),2)</f>
        <v>225.14</v>
      </c>
    </row>
    <row r="939" spans="2:8" ht="76.5" customHeight="1" x14ac:dyDescent="0.2">
      <c r="B939" s="508" t="s">
        <v>1139</v>
      </c>
      <c r="C939" s="594" t="s">
        <v>674</v>
      </c>
      <c r="D939" s="516" t="s">
        <v>675</v>
      </c>
      <c r="E939" s="519" t="s">
        <v>22</v>
      </c>
      <c r="F939" s="605">
        <v>1</v>
      </c>
      <c r="G939" s="605">
        <f>TRUNC(H943,2)</f>
        <v>107.77</v>
      </c>
      <c r="H939" s="605">
        <f>TRUNC(F939*G939,2)</f>
        <v>107.77</v>
      </c>
    </row>
    <row r="940" spans="2:8" ht="24" x14ac:dyDescent="0.2">
      <c r="B940" s="508"/>
      <c r="C940" s="594" t="s">
        <v>676</v>
      </c>
      <c r="D940" s="516" t="s">
        <v>677</v>
      </c>
      <c r="E940" s="519" t="s">
        <v>22</v>
      </c>
      <c r="F940" s="605">
        <v>1</v>
      </c>
      <c r="G940" s="605">
        <f>TRUNC(70.78,2)</f>
        <v>70.78</v>
      </c>
      <c r="H940" s="605">
        <f>TRUNC(F940*G940,2)</f>
        <v>70.78</v>
      </c>
    </row>
    <row r="941" spans="2:8" ht="24" x14ac:dyDescent="0.2">
      <c r="B941" s="508"/>
      <c r="C941" s="594" t="s">
        <v>35</v>
      </c>
      <c r="D941" s="516" t="s">
        <v>36</v>
      </c>
      <c r="E941" s="519" t="s">
        <v>37</v>
      </c>
      <c r="F941" s="605">
        <v>1.03</v>
      </c>
      <c r="G941" s="605">
        <f>TRUNC(15.09,2)</f>
        <v>15.09</v>
      </c>
      <c r="H941" s="605">
        <f>TRUNC(F941*G941,2)</f>
        <v>15.54</v>
      </c>
    </row>
    <row r="942" spans="2:8" ht="24" x14ac:dyDescent="0.2">
      <c r="B942" s="508"/>
      <c r="C942" s="594" t="s">
        <v>376</v>
      </c>
      <c r="D942" s="516" t="s">
        <v>377</v>
      </c>
      <c r="E942" s="519" t="s">
        <v>37</v>
      </c>
      <c r="F942" s="605">
        <v>1.03</v>
      </c>
      <c r="G942" s="605">
        <f>TRUNC(20.83,2)</f>
        <v>20.83</v>
      </c>
      <c r="H942" s="605">
        <f>TRUNC(F942*G942,2)</f>
        <v>21.45</v>
      </c>
    </row>
    <row r="943" spans="2:8" x14ac:dyDescent="0.2">
      <c r="B943" s="508"/>
      <c r="C943" s="594"/>
      <c r="D943" s="516"/>
      <c r="E943" s="519"/>
      <c r="F943" s="605" t="s">
        <v>38</v>
      </c>
      <c r="G943" s="605"/>
      <c r="H943" s="605">
        <f>TRUNC(SUM(H940:H942),2)</f>
        <v>107.77</v>
      </c>
    </row>
    <row r="944" spans="2:8" ht="108" x14ac:dyDescent="0.2">
      <c r="B944" s="508" t="s">
        <v>1142</v>
      </c>
      <c r="C944" s="535" t="s">
        <v>689</v>
      </c>
      <c r="D944" s="553" t="s">
        <v>979</v>
      </c>
      <c r="E944" s="519" t="s">
        <v>22</v>
      </c>
      <c r="F944" s="605">
        <v>1</v>
      </c>
      <c r="G944" s="605">
        <f>TRUNC(H948,2)</f>
        <v>423.91</v>
      </c>
      <c r="H944" s="605">
        <f>TRUNC(F944*G944,2)</f>
        <v>423.91</v>
      </c>
    </row>
    <row r="945" spans="2:8" ht="24" x14ac:dyDescent="0.2">
      <c r="B945" s="508"/>
      <c r="C945" s="594" t="s">
        <v>683</v>
      </c>
      <c r="D945" s="516" t="s">
        <v>684</v>
      </c>
      <c r="E945" s="519" t="s">
        <v>22</v>
      </c>
      <c r="F945" s="605">
        <v>6</v>
      </c>
      <c r="G945" s="605">
        <f>TRUNC(5.96,2)</f>
        <v>5.96</v>
      </c>
      <c r="H945" s="605">
        <f>TRUNC(F945*G945,2)</f>
        <v>35.76</v>
      </c>
    </row>
    <row r="946" spans="2:8" ht="36" x14ac:dyDescent="0.2">
      <c r="B946" s="508"/>
      <c r="C946" s="594" t="s">
        <v>685</v>
      </c>
      <c r="D946" s="516" t="s">
        <v>686</v>
      </c>
      <c r="E946" s="519" t="s">
        <v>22</v>
      </c>
      <c r="F946" s="605">
        <v>1</v>
      </c>
      <c r="G946" s="605">
        <f>TRUNC(318.77,2)</f>
        <v>318.77</v>
      </c>
      <c r="H946" s="605">
        <f>TRUNC(F946*G946,2)</f>
        <v>318.77</v>
      </c>
    </row>
    <row r="947" spans="2:8" ht="24" x14ac:dyDescent="0.2">
      <c r="B947" s="508"/>
      <c r="C947" s="594" t="s">
        <v>687</v>
      </c>
      <c r="D947" s="516" t="s">
        <v>688</v>
      </c>
      <c r="E947" s="519" t="s">
        <v>22</v>
      </c>
      <c r="F947" s="605">
        <v>2</v>
      </c>
      <c r="G947" s="605">
        <f>TRUNC(34.69,2)</f>
        <v>34.69</v>
      </c>
      <c r="H947" s="605">
        <f>TRUNC(F947*G947,2)</f>
        <v>69.38</v>
      </c>
    </row>
    <row r="948" spans="2:8" x14ac:dyDescent="0.2">
      <c r="B948" s="508"/>
      <c r="C948" s="594"/>
      <c r="D948" s="516"/>
      <c r="E948" s="519"/>
      <c r="F948" s="605" t="s">
        <v>38</v>
      </c>
      <c r="G948" s="605"/>
      <c r="H948" s="605">
        <f>TRUNC(SUM(H945:H947),2)</f>
        <v>423.91</v>
      </c>
    </row>
    <row r="949" spans="2:8" ht="15.75" customHeight="1" thickBot="1" x14ac:dyDescent="0.25">
      <c r="B949" s="606"/>
      <c r="C949" s="607"/>
      <c r="D949" s="608" t="s">
        <v>755</v>
      </c>
      <c r="E949" s="609"/>
      <c r="F949" s="610"/>
      <c r="G949" s="610"/>
      <c r="H949" s="610"/>
    </row>
    <row r="950" spans="2:8" ht="48" x14ac:dyDescent="0.2">
      <c r="B950" s="538"/>
      <c r="C950" s="407" t="s">
        <v>1380</v>
      </c>
      <c r="D950" s="408" t="s">
        <v>1381</v>
      </c>
      <c r="E950" s="400" t="s">
        <v>16</v>
      </c>
      <c r="F950" s="400">
        <v>1</v>
      </c>
      <c r="G950" s="400">
        <f>TRUNC(H956,2)</f>
        <v>395.83</v>
      </c>
      <c r="H950" s="401">
        <f t="shared" ref="H950:H955" si="49">TRUNC(F950*G950,2)</f>
        <v>395.83</v>
      </c>
    </row>
    <row r="951" spans="2:8" x14ac:dyDescent="0.2">
      <c r="B951" s="538"/>
      <c r="C951" s="480" t="s">
        <v>1382</v>
      </c>
      <c r="D951" s="294" t="s">
        <v>744</v>
      </c>
      <c r="E951" s="344" t="s">
        <v>22</v>
      </c>
      <c r="F951" s="344">
        <v>1.2466999999999999</v>
      </c>
      <c r="G951" s="344">
        <f>TRUNC(11.63,2)</f>
        <v>11.63</v>
      </c>
      <c r="H951" s="476">
        <f t="shared" si="49"/>
        <v>14.49</v>
      </c>
    </row>
    <row r="952" spans="2:8" ht="36" x14ac:dyDescent="0.2">
      <c r="B952" s="538"/>
      <c r="C952" s="480" t="s">
        <v>1383</v>
      </c>
      <c r="D952" s="294" t="s">
        <v>745</v>
      </c>
      <c r="E952" s="344" t="s">
        <v>22</v>
      </c>
      <c r="F952" s="344">
        <v>24.4</v>
      </c>
      <c r="G952" s="344">
        <f>TRUNC(0.13,2)</f>
        <v>0.13</v>
      </c>
      <c r="H952" s="476">
        <f t="shared" si="49"/>
        <v>3.17</v>
      </c>
    </row>
    <row r="953" spans="2:8" ht="36" x14ac:dyDescent="0.2">
      <c r="B953" s="538"/>
      <c r="C953" s="480" t="s">
        <v>1384</v>
      </c>
      <c r="D953" s="294" t="s">
        <v>746</v>
      </c>
      <c r="E953" s="344" t="s">
        <v>16</v>
      </c>
      <c r="F953" s="344">
        <v>1.0001</v>
      </c>
      <c r="G953" s="344">
        <f>TRUNC(311.71,2)</f>
        <v>311.70999999999998</v>
      </c>
      <c r="H953" s="476">
        <f t="shared" si="49"/>
        <v>311.74</v>
      </c>
    </row>
    <row r="954" spans="2:8" x14ac:dyDescent="0.2">
      <c r="B954" s="538"/>
      <c r="C954" s="480" t="s">
        <v>1184</v>
      </c>
      <c r="D954" s="294" t="s">
        <v>39</v>
      </c>
      <c r="E954" s="344" t="s">
        <v>37</v>
      </c>
      <c r="F954" s="344">
        <v>0.85299999999999998</v>
      </c>
      <c r="G954" s="344">
        <f>TRUNC(21.86,2)</f>
        <v>21.86</v>
      </c>
      <c r="H954" s="476">
        <f t="shared" si="49"/>
        <v>18.64</v>
      </c>
    </row>
    <row r="955" spans="2:8" x14ac:dyDescent="0.2">
      <c r="B955" s="538"/>
      <c r="C955" s="480" t="s">
        <v>1191</v>
      </c>
      <c r="D955" s="294" t="s">
        <v>47</v>
      </c>
      <c r="E955" s="344" t="s">
        <v>37</v>
      </c>
      <c r="F955" s="344">
        <v>1.7070000000000001</v>
      </c>
      <c r="G955" s="344">
        <f>TRUNC(28,2)</f>
        <v>28</v>
      </c>
      <c r="H955" s="476">
        <f t="shared" si="49"/>
        <v>47.79</v>
      </c>
    </row>
    <row r="956" spans="2:8" x14ac:dyDescent="0.2">
      <c r="B956" s="538"/>
      <c r="C956" s="480"/>
      <c r="D956" s="294"/>
      <c r="E956" s="344"/>
      <c r="F956" s="344" t="s">
        <v>38</v>
      </c>
      <c r="G956" s="344"/>
      <c r="H956" s="476">
        <f>TRUNC(SUM(H951:H955),2)</f>
        <v>395.83</v>
      </c>
    </row>
    <row r="957" spans="2:8" ht="12" customHeight="1" x14ac:dyDescent="0.2">
      <c r="B957" s="538"/>
      <c r="C957" s="409" t="s">
        <v>747</v>
      </c>
      <c r="D957" s="260" t="s">
        <v>748</v>
      </c>
      <c r="E957" s="75" t="s">
        <v>18</v>
      </c>
      <c r="F957" s="75">
        <v>1</v>
      </c>
      <c r="G957" s="75">
        <f>TRUNC(H962,2)</f>
        <v>23.1</v>
      </c>
      <c r="H957" s="410">
        <f>TRUNC(F957*G957,2)</f>
        <v>23.1</v>
      </c>
    </row>
    <row r="958" spans="2:8" ht="12" customHeight="1" x14ac:dyDescent="0.2">
      <c r="B958" s="538"/>
      <c r="C958" s="409" t="s">
        <v>749</v>
      </c>
      <c r="D958" s="260" t="s">
        <v>750</v>
      </c>
      <c r="E958" s="75" t="s">
        <v>18</v>
      </c>
      <c r="F958" s="75">
        <v>1</v>
      </c>
      <c r="G958" s="75">
        <f>TRUNC(1.38,2)</f>
        <v>1.38</v>
      </c>
      <c r="H958" s="410">
        <f>TRUNC(F958*G958,2)</f>
        <v>1.38</v>
      </c>
    </row>
    <row r="959" spans="2:8" ht="12" customHeight="1" x14ac:dyDescent="0.2">
      <c r="B959" s="538"/>
      <c r="C959" s="409" t="s">
        <v>751</v>
      </c>
      <c r="D959" s="260" t="s">
        <v>752</v>
      </c>
      <c r="E959" s="75" t="s">
        <v>23</v>
      </c>
      <c r="F959" s="75">
        <v>0.13</v>
      </c>
      <c r="G959" s="75">
        <f>TRUNC(18.6,2)</f>
        <v>18.600000000000001</v>
      </c>
      <c r="H959" s="410">
        <f>TRUNC(F959*G959,2)</f>
        <v>2.41</v>
      </c>
    </row>
    <row r="960" spans="2:8" ht="12" customHeight="1" x14ac:dyDescent="0.2">
      <c r="B960" s="538"/>
      <c r="C960" s="409" t="s">
        <v>753</v>
      </c>
      <c r="D960" s="260" t="s">
        <v>754</v>
      </c>
      <c r="E960" s="75" t="s">
        <v>37</v>
      </c>
      <c r="F960" s="75">
        <v>0.51500000000000001</v>
      </c>
      <c r="G960" s="75">
        <f>TRUNC(22.42,2)</f>
        <v>22.42</v>
      </c>
      <c r="H960" s="410">
        <f>TRUNC(F960*G960,2)</f>
        <v>11.54</v>
      </c>
    </row>
    <row r="961" spans="2:8" ht="12" customHeight="1" x14ac:dyDescent="0.2">
      <c r="B961" s="538"/>
      <c r="C961" s="409" t="s">
        <v>35</v>
      </c>
      <c r="D961" s="260" t="s">
        <v>36</v>
      </c>
      <c r="E961" s="75" t="s">
        <v>37</v>
      </c>
      <c r="F961" s="75">
        <v>0.51500000000000001</v>
      </c>
      <c r="G961" s="75">
        <f>TRUNC(15.09,2)</f>
        <v>15.09</v>
      </c>
      <c r="H961" s="410">
        <f>TRUNC(F961*G961,2)</f>
        <v>7.77</v>
      </c>
    </row>
    <row r="962" spans="2:8" ht="12" customHeight="1" x14ac:dyDescent="0.2">
      <c r="B962" s="538"/>
      <c r="C962" s="409"/>
      <c r="D962" s="260"/>
      <c r="E962" s="75"/>
      <c r="F962" s="75" t="s">
        <v>38</v>
      </c>
      <c r="G962" s="75"/>
      <c r="H962" s="410">
        <f>TRUNC(SUM(H958:H961),2)</f>
        <v>23.1</v>
      </c>
    </row>
    <row r="963" spans="2:8" x14ac:dyDescent="0.2">
      <c r="B963" s="457"/>
      <c r="C963" s="409"/>
      <c r="D963" s="75"/>
      <c r="E963" s="75"/>
      <c r="F963" s="75"/>
      <c r="G963" s="75"/>
      <c r="H963" s="410"/>
    </row>
    <row r="964" spans="2:8" s="295" customFormat="1" ht="42.75" customHeight="1" x14ac:dyDescent="0.2">
      <c r="B964" s="457" t="s">
        <v>1143</v>
      </c>
      <c r="C964" s="611"/>
      <c r="D964" s="612" t="s">
        <v>757</v>
      </c>
      <c r="E964" s="613"/>
      <c r="F964" s="613"/>
      <c r="G964" s="613"/>
      <c r="H964" s="614">
        <v>505.83</v>
      </c>
    </row>
    <row r="965" spans="2:8" s="295" customFormat="1" ht="16.5" thickBot="1" x14ac:dyDescent="0.25">
      <c r="B965" s="457"/>
      <c r="C965" s="615"/>
      <c r="D965" s="616"/>
      <c r="E965" s="616"/>
      <c r="F965" s="616"/>
      <c r="G965" s="616"/>
      <c r="H965" s="617"/>
    </row>
    <row r="966" spans="2:8" ht="16.5" thickBot="1" x14ac:dyDescent="0.25">
      <c r="B966" s="459"/>
      <c r="C966" s="300"/>
      <c r="D966" s="301"/>
      <c r="E966" s="300"/>
      <c r="F966" s="302"/>
      <c r="G966" s="302"/>
      <c r="H966" s="302"/>
    </row>
    <row r="967" spans="2:8" ht="48" x14ac:dyDescent="0.2">
      <c r="B967" s="457"/>
      <c r="C967" s="407" t="s">
        <v>1380</v>
      </c>
      <c r="D967" s="408" t="s">
        <v>1381</v>
      </c>
      <c r="E967" s="400" t="s">
        <v>16</v>
      </c>
      <c r="F967" s="400">
        <v>1</v>
      </c>
      <c r="G967" s="400">
        <f>TRUNC(H973,2)</f>
        <v>395.83</v>
      </c>
      <c r="H967" s="401">
        <f t="shared" ref="H967:H972" si="50">TRUNC(F967*G967,2)</f>
        <v>395.83</v>
      </c>
    </row>
    <row r="968" spans="2:8" x14ac:dyDescent="0.2">
      <c r="B968" s="457"/>
      <c r="C968" s="480" t="s">
        <v>1382</v>
      </c>
      <c r="D968" s="294" t="s">
        <v>744</v>
      </c>
      <c r="E968" s="344" t="s">
        <v>22</v>
      </c>
      <c r="F968" s="344">
        <v>1.2466999999999999</v>
      </c>
      <c r="G968" s="344">
        <f>TRUNC(11.63,2)</f>
        <v>11.63</v>
      </c>
      <c r="H968" s="476">
        <f t="shared" si="50"/>
        <v>14.49</v>
      </c>
    </row>
    <row r="969" spans="2:8" ht="36" x14ac:dyDescent="0.2">
      <c r="B969" s="457"/>
      <c r="C969" s="480" t="s">
        <v>1383</v>
      </c>
      <c r="D969" s="294" t="s">
        <v>745</v>
      </c>
      <c r="E969" s="344" t="s">
        <v>22</v>
      </c>
      <c r="F969" s="344">
        <v>24.4</v>
      </c>
      <c r="G969" s="344">
        <f>TRUNC(0.13,2)</f>
        <v>0.13</v>
      </c>
      <c r="H969" s="476">
        <f t="shared" si="50"/>
        <v>3.17</v>
      </c>
    </row>
    <row r="970" spans="2:8" ht="36" x14ac:dyDescent="0.2">
      <c r="B970" s="457"/>
      <c r="C970" s="480" t="s">
        <v>1384</v>
      </c>
      <c r="D970" s="294" t="s">
        <v>746</v>
      </c>
      <c r="E970" s="344" t="s">
        <v>16</v>
      </c>
      <c r="F970" s="344">
        <v>1.0001</v>
      </c>
      <c r="G970" s="344">
        <f>TRUNC(311.71,2)</f>
        <v>311.70999999999998</v>
      </c>
      <c r="H970" s="476">
        <f t="shared" si="50"/>
        <v>311.74</v>
      </c>
    </row>
    <row r="971" spans="2:8" x14ac:dyDescent="0.2">
      <c r="B971" s="457"/>
      <c r="C971" s="480" t="s">
        <v>1184</v>
      </c>
      <c r="D971" s="294" t="s">
        <v>39</v>
      </c>
      <c r="E971" s="344" t="s">
        <v>37</v>
      </c>
      <c r="F971" s="344">
        <v>0.85299999999999998</v>
      </c>
      <c r="G971" s="344">
        <f>TRUNC(21.86,2)</f>
        <v>21.86</v>
      </c>
      <c r="H971" s="476">
        <f t="shared" si="50"/>
        <v>18.64</v>
      </c>
    </row>
    <row r="972" spans="2:8" x14ac:dyDescent="0.2">
      <c r="B972" s="457"/>
      <c r="C972" s="480" t="s">
        <v>1191</v>
      </c>
      <c r="D972" s="294" t="s">
        <v>47</v>
      </c>
      <c r="E972" s="344" t="s">
        <v>37</v>
      </c>
      <c r="F972" s="344">
        <v>1.7070000000000001</v>
      </c>
      <c r="G972" s="344">
        <f>TRUNC(28,2)</f>
        <v>28</v>
      </c>
      <c r="H972" s="476">
        <f t="shared" si="50"/>
        <v>47.79</v>
      </c>
    </row>
    <row r="973" spans="2:8" x14ac:dyDescent="0.2">
      <c r="B973" s="457"/>
      <c r="C973" s="480"/>
      <c r="D973" s="294"/>
      <c r="E973" s="344"/>
      <c r="F973" s="344" t="s">
        <v>38</v>
      </c>
      <c r="G973" s="344"/>
      <c r="H973" s="476">
        <f>TRUNC(SUM(H968:H972),2)</f>
        <v>395.83</v>
      </c>
    </row>
    <row r="974" spans="2:8" ht="60" x14ac:dyDescent="0.2">
      <c r="B974" s="457"/>
      <c r="C974" s="409" t="s">
        <v>747</v>
      </c>
      <c r="D974" s="260" t="s">
        <v>748</v>
      </c>
      <c r="E974" s="75" t="s">
        <v>18</v>
      </c>
      <c r="F974" s="75">
        <v>1</v>
      </c>
      <c r="G974" s="75">
        <f>TRUNC(H979,2)</f>
        <v>23.1</v>
      </c>
      <c r="H974" s="410">
        <f>TRUNC(F974*G974,2)</f>
        <v>23.1</v>
      </c>
    </row>
    <row r="975" spans="2:8" x14ac:dyDescent="0.2">
      <c r="B975" s="457"/>
      <c r="C975" s="409" t="s">
        <v>749</v>
      </c>
      <c r="D975" s="260" t="s">
        <v>750</v>
      </c>
      <c r="E975" s="75" t="s">
        <v>18</v>
      </c>
      <c r="F975" s="75">
        <v>1</v>
      </c>
      <c r="G975" s="75">
        <f>TRUNC(1.38,2)</f>
        <v>1.38</v>
      </c>
      <c r="H975" s="410">
        <f>TRUNC(F975*G975,2)</f>
        <v>1.38</v>
      </c>
    </row>
    <row r="976" spans="2:8" ht="24" x14ac:dyDescent="0.2">
      <c r="B976" s="457"/>
      <c r="C976" s="409" t="s">
        <v>751</v>
      </c>
      <c r="D976" s="260" t="s">
        <v>752</v>
      </c>
      <c r="E976" s="75" t="s">
        <v>23</v>
      </c>
      <c r="F976" s="75">
        <v>0.13</v>
      </c>
      <c r="G976" s="75">
        <f>TRUNC(18.6,2)</f>
        <v>18.600000000000001</v>
      </c>
      <c r="H976" s="410">
        <f>TRUNC(F976*G976,2)</f>
        <v>2.41</v>
      </c>
    </row>
    <row r="977" spans="2:8" ht="24" x14ac:dyDescent="0.2">
      <c r="B977" s="457"/>
      <c r="C977" s="409" t="s">
        <v>753</v>
      </c>
      <c r="D977" s="260" t="s">
        <v>754</v>
      </c>
      <c r="E977" s="75" t="s">
        <v>37</v>
      </c>
      <c r="F977" s="75">
        <v>0.51500000000000001</v>
      </c>
      <c r="G977" s="75">
        <f>TRUNC(22.42,2)</f>
        <v>22.42</v>
      </c>
      <c r="H977" s="410">
        <f>TRUNC(F977*G977,2)</f>
        <v>11.54</v>
      </c>
    </row>
    <row r="978" spans="2:8" ht="24" x14ac:dyDescent="0.2">
      <c r="B978" s="457"/>
      <c r="C978" s="409" t="s">
        <v>35</v>
      </c>
      <c r="D978" s="260" t="s">
        <v>36</v>
      </c>
      <c r="E978" s="75" t="s">
        <v>37</v>
      </c>
      <c r="F978" s="75">
        <v>0.51500000000000001</v>
      </c>
      <c r="G978" s="75">
        <f>TRUNC(15.09,2)</f>
        <v>15.09</v>
      </c>
      <c r="H978" s="410">
        <f>TRUNC(F978*G978,2)</f>
        <v>7.77</v>
      </c>
    </row>
    <row r="979" spans="2:8" x14ac:dyDescent="0.2">
      <c r="B979" s="457"/>
      <c r="C979" s="409"/>
      <c r="D979" s="260"/>
      <c r="E979" s="75"/>
      <c r="F979" s="75" t="s">
        <v>38</v>
      </c>
      <c r="G979" s="75"/>
      <c r="H979" s="410">
        <f>TRUNC(SUM(H975:H978),2)</f>
        <v>23.1</v>
      </c>
    </row>
    <row r="980" spans="2:8" x14ac:dyDescent="0.2">
      <c r="B980" s="457"/>
      <c r="C980" s="409"/>
      <c r="D980" s="75"/>
      <c r="E980" s="75"/>
      <c r="F980" s="75"/>
      <c r="G980" s="75"/>
      <c r="H980" s="410"/>
    </row>
    <row r="981" spans="2:8" ht="38.25" x14ac:dyDescent="0.2">
      <c r="B981" s="457" t="s">
        <v>1144</v>
      </c>
      <c r="C981" s="611"/>
      <c r="D981" s="612" t="s">
        <v>759</v>
      </c>
      <c r="E981" s="613"/>
      <c r="F981" s="613"/>
      <c r="G981" s="613"/>
      <c r="H981" s="614">
        <v>501.7</v>
      </c>
    </row>
    <row r="982" spans="2:8" ht="16.5" thickBot="1" x14ac:dyDescent="0.25">
      <c r="B982" s="457"/>
      <c r="C982" s="615"/>
      <c r="D982" s="616"/>
      <c r="E982" s="616"/>
      <c r="F982" s="616"/>
      <c r="G982" s="616"/>
      <c r="H982" s="617"/>
    </row>
    <row r="983" spans="2:8" x14ac:dyDescent="0.2">
      <c r="B983" s="456"/>
      <c r="C983" s="296"/>
      <c r="D983" s="297"/>
      <c r="E983" s="296"/>
      <c r="F983" s="298"/>
      <c r="G983" s="298"/>
      <c r="H983" s="298"/>
    </row>
    <row r="984" spans="2:8" ht="60" x14ac:dyDescent="0.2">
      <c r="B984" s="448" t="s">
        <v>1145</v>
      </c>
      <c r="C984" s="219" t="s">
        <v>760</v>
      </c>
      <c r="D984" s="294" t="s">
        <v>982</v>
      </c>
      <c r="E984" s="296" t="s">
        <v>16</v>
      </c>
      <c r="F984" s="298">
        <v>1</v>
      </c>
      <c r="G984" s="298">
        <f>TRUNC(342.3981,2)</f>
        <v>342.39</v>
      </c>
      <c r="H984" s="298">
        <f>TRUNC(F984*G984,2)</f>
        <v>342.39</v>
      </c>
    </row>
    <row r="985" spans="2:8" ht="24" x14ac:dyDescent="0.2">
      <c r="B985" s="448"/>
      <c r="C985" s="219" t="s">
        <v>751</v>
      </c>
      <c r="D985" s="294" t="s">
        <v>752</v>
      </c>
      <c r="E985" s="296" t="s">
        <v>23</v>
      </c>
      <c r="F985" s="298">
        <v>12.177</v>
      </c>
      <c r="G985" s="298">
        <f>TRUNC(18.6,2)</f>
        <v>18.600000000000001</v>
      </c>
      <c r="H985" s="298">
        <f>TRUNC(F985*G985,2)</f>
        <v>226.49</v>
      </c>
    </row>
    <row r="986" spans="2:8" ht="24" x14ac:dyDescent="0.2">
      <c r="B986" s="448"/>
      <c r="C986" s="219" t="s">
        <v>753</v>
      </c>
      <c r="D986" s="294" t="s">
        <v>754</v>
      </c>
      <c r="E986" s="296" t="s">
        <v>37</v>
      </c>
      <c r="F986" s="298">
        <v>3.09</v>
      </c>
      <c r="G986" s="298">
        <f>TRUNC(22.42,2)</f>
        <v>22.42</v>
      </c>
      <c r="H986" s="298">
        <f>TRUNC(F986*G986,2)</f>
        <v>69.27</v>
      </c>
    </row>
    <row r="987" spans="2:8" ht="24" x14ac:dyDescent="0.2">
      <c r="B987" s="448"/>
      <c r="C987" s="219" t="s">
        <v>35</v>
      </c>
      <c r="D987" s="294" t="s">
        <v>36</v>
      </c>
      <c r="E987" s="296" t="s">
        <v>37</v>
      </c>
      <c r="F987" s="298">
        <v>3.09</v>
      </c>
      <c r="G987" s="298">
        <f>TRUNC(15.09,2)</f>
        <v>15.09</v>
      </c>
      <c r="H987" s="298">
        <f>TRUNC(F987*G987,2)</f>
        <v>46.62</v>
      </c>
    </row>
    <row r="988" spans="2:8" x14ac:dyDescent="0.2">
      <c r="B988" s="448"/>
      <c r="C988" s="219"/>
      <c r="D988" s="294"/>
      <c r="E988" s="296"/>
      <c r="F988" s="298" t="s">
        <v>38</v>
      </c>
      <c r="G988" s="298"/>
      <c r="H988" s="298">
        <f>TRUNC(SUM(H985:H987),2)</f>
        <v>342.38</v>
      </c>
    </row>
    <row r="989" spans="2:8" ht="60" x14ac:dyDescent="0.2">
      <c r="B989" s="448" t="s">
        <v>1146</v>
      </c>
      <c r="C989" s="219" t="s">
        <v>761</v>
      </c>
      <c r="D989" s="294" t="s">
        <v>1606</v>
      </c>
      <c r="E989" s="296" t="s">
        <v>16</v>
      </c>
      <c r="F989" s="298">
        <v>1</v>
      </c>
      <c r="G989" s="298">
        <f>TRUNC(H993,2)</f>
        <v>342.38</v>
      </c>
      <c r="H989" s="298">
        <f>TRUNC(F989*G989,2)</f>
        <v>342.38</v>
      </c>
    </row>
    <row r="990" spans="2:8" ht="24" x14ac:dyDescent="0.2">
      <c r="B990" s="448"/>
      <c r="C990" s="219" t="s">
        <v>751</v>
      </c>
      <c r="D990" s="294" t="s">
        <v>752</v>
      </c>
      <c r="E990" s="296" t="s">
        <v>23</v>
      </c>
      <c r="F990" s="298">
        <v>12.177</v>
      </c>
      <c r="G990" s="298">
        <f>TRUNC(18.6,2)</f>
        <v>18.600000000000001</v>
      </c>
      <c r="H990" s="298">
        <f>TRUNC(F990*G990,2)</f>
        <v>226.49</v>
      </c>
    </row>
    <row r="991" spans="2:8" ht="24" x14ac:dyDescent="0.2">
      <c r="B991" s="448"/>
      <c r="C991" s="219" t="s">
        <v>753</v>
      </c>
      <c r="D991" s="294" t="s">
        <v>754</v>
      </c>
      <c r="E991" s="296" t="s">
        <v>37</v>
      </c>
      <c r="F991" s="298">
        <v>3.09</v>
      </c>
      <c r="G991" s="298">
        <f>TRUNC(22.42,2)</f>
        <v>22.42</v>
      </c>
      <c r="H991" s="298">
        <f>TRUNC(F991*G991,2)</f>
        <v>69.27</v>
      </c>
    </row>
    <row r="992" spans="2:8" ht="24" x14ac:dyDescent="0.2">
      <c r="B992" s="448"/>
      <c r="C992" s="219" t="s">
        <v>35</v>
      </c>
      <c r="D992" s="294" t="s">
        <v>36</v>
      </c>
      <c r="E992" s="296" t="s">
        <v>37</v>
      </c>
      <c r="F992" s="298">
        <v>3.09</v>
      </c>
      <c r="G992" s="298">
        <f>TRUNC(15.09,2)</f>
        <v>15.09</v>
      </c>
      <c r="H992" s="298">
        <f>TRUNC(F992*G992,2)</f>
        <v>46.62</v>
      </c>
    </row>
    <row r="993" spans="2:8" x14ac:dyDescent="0.2">
      <c r="B993" s="448"/>
      <c r="C993" s="219"/>
      <c r="D993" s="294"/>
      <c r="E993" s="296"/>
      <c r="F993" s="298" t="s">
        <v>38</v>
      </c>
      <c r="G993" s="298"/>
      <c r="H993" s="298">
        <f>TRUNC(SUM(H990:H992),2)</f>
        <v>342.38</v>
      </c>
    </row>
    <row r="994" spans="2:8" ht="60" x14ac:dyDescent="0.2">
      <c r="B994" s="448" t="s">
        <v>1147</v>
      </c>
      <c r="C994" s="219" t="s">
        <v>761</v>
      </c>
      <c r="D994" s="294" t="s">
        <v>984</v>
      </c>
      <c r="E994" s="296" t="s">
        <v>16</v>
      </c>
      <c r="F994" s="298">
        <v>1</v>
      </c>
      <c r="G994" s="298">
        <f>TRUNC(H998,2)</f>
        <v>342.38</v>
      </c>
      <c r="H994" s="298">
        <f>TRUNC(F994*G994,2)</f>
        <v>342.38</v>
      </c>
    </row>
    <row r="995" spans="2:8" ht="24" x14ac:dyDescent="0.2">
      <c r="B995" s="448"/>
      <c r="C995" s="219" t="s">
        <v>751</v>
      </c>
      <c r="D995" s="294" t="s">
        <v>752</v>
      </c>
      <c r="E995" s="296" t="s">
        <v>23</v>
      </c>
      <c r="F995" s="298">
        <v>12.177</v>
      </c>
      <c r="G995" s="298">
        <f>TRUNC(18.6,2)</f>
        <v>18.600000000000001</v>
      </c>
      <c r="H995" s="298">
        <f>TRUNC(F995*G995,2)</f>
        <v>226.49</v>
      </c>
    </row>
    <row r="996" spans="2:8" ht="24" x14ac:dyDescent="0.2">
      <c r="B996" s="448"/>
      <c r="C996" s="219" t="s">
        <v>753</v>
      </c>
      <c r="D996" s="294" t="s">
        <v>754</v>
      </c>
      <c r="E996" s="296" t="s">
        <v>37</v>
      </c>
      <c r="F996" s="298">
        <v>3.09</v>
      </c>
      <c r="G996" s="298">
        <f>TRUNC(22.42,2)</f>
        <v>22.42</v>
      </c>
      <c r="H996" s="298">
        <f>TRUNC(F996*G996,2)</f>
        <v>69.27</v>
      </c>
    </row>
    <row r="997" spans="2:8" ht="24" x14ac:dyDescent="0.2">
      <c r="B997" s="448"/>
      <c r="C997" s="219" t="s">
        <v>35</v>
      </c>
      <c r="D997" s="294" t="s">
        <v>36</v>
      </c>
      <c r="E997" s="296" t="s">
        <v>37</v>
      </c>
      <c r="F997" s="298">
        <v>3.09</v>
      </c>
      <c r="G997" s="298">
        <f>TRUNC(15.09,2)</f>
        <v>15.09</v>
      </c>
      <c r="H997" s="298">
        <f>TRUNC(F997*G997,2)</f>
        <v>46.62</v>
      </c>
    </row>
    <row r="998" spans="2:8" x14ac:dyDescent="0.2">
      <c r="B998" s="448"/>
      <c r="C998" s="219"/>
      <c r="D998" s="294"/>
      <c r="E998" s="296"/>
      <c r="F998" s="298" t="s">
        <v>38</v>
      </c>
      <c r="G998" s="298"/>
      <c r="H998" s="298">
        <f>TRUNC(SUM(H995:H997),2)</f>
        <v>342.38</v>
      </c>
    </row>
    <row r="999" spans="2:8" x14ac:dyDescent="0.2">
      <c r="B999" s="448">
        <v>12</v>
      </c>
      <c r="C999" s="296"/>
      <c r="D999" s="297" t="s">
        <v>399</v>
      </c>
      <c r="E999" s="296"/>
      <c r="F999" s="298"/>
      <c r="G999" s="298"/>
      <c r="H999" s="298"/>
    </row>
    <row r="1000" spans="2:8" x14ac:dyDescent="0.2">
      <c r="B1000" s="448" t="s">
        <v>1148</v>
      </c>
      <c r="C1000" s="76" t="s">
        <v>762</v>
      </c>
      <c r="D1000" s="76" t="s">
        <v>1385</v>
      </c>
      <c r="E1000" s="76" t="s">
        <v>16</v>
      </c>
      <c r="F1000" s="76">
        <v>1</v>
      </c>
      <c r="G1000" s="76">
        <f>TRUNC(336.056,2)</f>
        <v>336.05</v>
      </c>
      <c r="H1000" s="76">
        <f>TRUNC(F1000*G1000,2)</f>
        <v>336.05</v>
      </c>
    </row>
    <row r="1001" spans="2:8" x14ac:dyDescent="0.2">
      <c r="B1001" s="448"/>
      <c r="C1001" s="76" t="s">
        <v>763</v>
      </c>
      <c r="D1001" s="76" t="s">
        <v>764</v>
      </c>
      <c r="E1001" s="76" t="s">
        <v>16</v>
      </c>
      <c r="F1001" s="76">
        <v>1</v>
      </c>
      <c r="G1001" s="76">
        <f>TRUNC(336.056,2)</f>
        <v>336.05</v>
      </c>
      <c r="H1001" s="76">
        <f>TRUNC(F1001*G1001,2)</f>
        <v>336.05</v>
      </c>
    </row>
    <row r="1002" spans="2:8" x14ac:dyDescent="0.2">
      <c r="B1002" s="448"/>
      <c r="C1002" s="76"/>
      <c r="D1002" s="76"/>
      <c r="E1002" s="76"/>
      <c r="F1002" s="76" t="s">
        <v>38</v>
      </c>
      <c r="G1002" s="76"/>
      <c r="H1002" s="76">
        <f>TRUNC(SUM(H1001:H1001),2)</f>
        <v>336.05</v>
      </c>
    </row>
    <row r="1003" spans="2:8" s="479" customFormat="1" ht="72" x14ac:dyDescent="0.2">
      <c r="B1003" s="481" t="s">
        <v>1149</v>
      </c>
      <c r="C1003" s="477" t="s">
        <v>765</v>
      </c>
      <c r="D1003" s="477" t="s">
        <v>766</v>
      </c>
      <c r="E1003" s="477" t="s">
        <v>22</v>
      </c>
      <c r="F1003" s="477">
        <v>1</v>
      </c>
      <c r="G1003" s="477">
        <f>TRUNC(H1016,2)</f>
        <v>473.26</v>
      </c>
      <c r="H1003" s="477">
        <f t="shared" ref="H1003:H1015" si="51">TRUNC(F1003*G1003,2)</f>
        <v>473.26</v>
      </c>
    </row>
    <row r="1004" spans="2:8" s="479" customFormat="1" x14ac:dyDescent="0.2">
      <c r="B1004" s="481"/>
      <c r="C1004" s="477" t="s">
        <v>767</v>
      </c>
      <c r="D1004" s="477" t="s">
        <v>768</v>
      </c>
      <c r="E1004" s="477" t="s">
        <v>22</v>
      </c>
      <c r="F1004" s="477">
        <v>2</v>
      </c>
      <c r="G1004" s="477">
        <f>TRUNC(9.62,2)</f>
        <v>9.6199999999999992</v>
      </c>
      <c r="H1004" s="477">
        <f t="shared" si="51"/>
        <v>19.239999999999998</v>
      </c>
    </row>
    <row r="1005" spans="2:8" s="479" customFormat="1" ht="24" x14ac:dyDescent="0.2">
      <c r="B1005" s="481"/>
      <c r="C1005" s="477" t="s">
        <v>769</v>
      </c>
      <c r="D1005" s="477" t="s">
        <v>770</v>
      </c>
      <c r="E1005" s="477" t="s">
        <v>22</v>
      </c>
      <c r="F1005" s="477">
        <v>1</v>
      </c>
      <c r="G1005" s="477">
        <f>TRUNC(9.18,2)</f>
        <v>9.18</v>
      </c>
      <c r="H1005" s="477">
        <f t="shared" si="51"/>
        <v>9.18</v>
      </c>
    </row>
    <row r="1006" spans="2:8" s="479" customFormat="1" ht="24" x14ac:dyDescent="0.2">
      <c r="B1006" s="481"/>
      <c r="C1006" s="477" t="s">
        <v>771</v>
      </c>
      <c r="D1006" s="477" t="s">
        <v>772</v>
      </c>
      <c r="E1006" s="477" t="s">
        <v>22</v>
      </c>
      <c r="F1006" s="477">
        <v>2</v>
      </c>
      <c r="G1006" s="477">
        <f>TRUNC(15.65,2)</f>
        <v>15.65</v>
      </c>
      <c r="H1006" s="477">
        <f t="shared" si="51"/>
        <v>31.3</v>
      </c>
    </row>
    <row r="1007" spans="2:8" s="479" customFormat="1" ht="24" x14ac:dyDescent="0.2">
      <c r="B1007" s="481"/>
      <c r="C1007" s="477" t="s">
        <v>773</v>
      </c>
      <c r="D1007" s="477" t="s">
        <v>774</v>
      </c>
      <c r="E1007" s="477" t="s">
        <v>22</v>
      </c>
      <c r="F1007" s="477">
        <v>1</v>
      </c>
      <c r="G1007" s="477">
        <f>TRUNC(43.09,2)</f>
        <v>43.09</v>
      </c>
      <c r="H1007" s="477">
        <f t="shared" si="51"/>
        <v>43.09</v>
      </c>
    </row>
    <row r="1008" spans="2:8" s="479" customFormat="1" x14ac:dyDescent="0.2">
      <c r="B1008" s="481"/>
      <c r="C1008" s="477" t="s">
        <v>775</v>
      </c>
      <c r="D1008" s="477" t="s">
        <v>776</v>
      </c>
      <c r="E1008" s="477" t="s">
        <v>22</v>
      </c>
      <c r="F1008" s="477">
        <v>1</v>
      </c>
      <c r="G1008" s="477">
        <f>TRUNC(36.38,2)</f>
        <v>36.380000000000003</v>
      </c>
      <c r="H1008" s="477">
        <f t="shared" si="51"/>
        <v>36.380000000000003</v>
      </c>
    </row>
    <row r="1009" spans="2:8" s="479" customFormat="1" ht="24" x14ac:dyDescent="0.2">
      <c r="B1009" s="481"/>
      <c r="C1009" s="477" t="s">
        <v>777</v>
      </c>
      <c r="D1009" s="477" t="s">
        <v>778</v>
      </c>
      <c r="E1009" s="477" t="s">
        <v>22</v>
      </c>
      <c r="F1009" s="477">
        <v>1</v>
      </c>
      <c r="G1009" s="477">
        <f>TRUNC(44.66,2)</f>
        <v>44.66</v>
      </c>
      <c r="H1009" s="477">
        <f t="shared" si="51"/>
        <v>44.66</v>
      </c>
    </row>
    <row r="1010" spans="2:8" s="479" customFormat="1" ht="24" x14ac:dyDescent="0.2">
      <c r="B1010" s="481"/>
      <c r="C1010" s="477" t="s">
        <v>779</v>
      </c>
      <c r="D1010" s="477" t="s">
        <v>780</v>
      </c>
      <c r="E1010" s="477" t="s">
        <v>22</v>
      </c>
      <c r="F1010" s="477">
        <v>1</v>
      </c>
      <c r="G1010" s="477">
        <f>TRUNC(70.78,2)</f>
        <v>70.78</v>
      </c>
      <c r="H1010" s="477">
        <f t="shared" si="51"/>
        <v>70.78</v>
      </c>
    </row>
    <row r="1011" spans="2:8" s="479" customFormat="1" ht="24" x14ac:dyDescent="0.2">
      <c r="B1011" s="481"/>
      <c r="C1011" s="477" t="s">
        <v>781</v>
      </c>
      <c r="D1011" s="477" t="s">
        <v>782</v>
      </c>
      <c r="E1011" s="477" t="s">
        <v>22</v>
      </c>
      <c r="F1011" s="477">
        <v>2</v>
      </c>
      <c r="G1011" s="477">
        <f>TRUNC(35,2)</f>
        <v>35</v>
      </c>
      <c r="H1011" s="477">
        <f t="shared" si="51"/>
        <v>70</v>
      </c>
    </row>
    <row r="1012" spans="2:8" s="479" customFormat="1" ht="24" x14ac:dyDescent="0.2">
      <c r="B1012" s="481"/>
      <c r="C1012" s="477" t="s">
        <v>783</v>
      </c>
      <c r="D1012" s="477" t="s">
        <v>784</v>
      </c>
      <c r="E1012" s="477" t="s">
        <v>22</v>
      </c>
      <c r="F1012" s="477">
        <v>2</v>
      </c>
      <c r="G1012" s="477">
        <f>TRUNC(8.74,2)</f>
        <v>8.74</v>
      </c>
      <c r="H1012" s="477">
        <f t="shared" si="51"/>
        <v>17.48</v>
      </c>
    </row>
    <row r="1013" spans="2:8" s="479" customFormat="1" ht="24" x14ac:dyDescent="0.2">
      <c r="B1013" s="481"/>
      <c r="C1013" s="477" t="s">
        <v>785</v>
      </c>
      <c r="D1013" s="477" t="s">
        <v>786</v>
      </c>
      <c r="E1013" s="477" t="s">
        <v>22</v>
      </c>
      <c r="F1013" s="477">
        <v>2</v>
      </c>
      <c r="G1013" s="477">
        <f>TRUNC(35.5,2)</f>
        <v>35.5</v>
      </c>
      <c r="H1013" s="477">
        <f t="shared" si="51"/>
        <v>71</v>
      </c>
    </row>
    <row r="1014" spans="2:8" s="479" customFormat="1" ht="24" x14ac:dyDescent="0.2">
      <c r="B1014" s="481"/>
      <c r="C1014" s="477" t="s">
        <v>787</v>
      </c>
      <c r="D1014" s="477" t="s">
        <v>788</v>
      </c>
      <c r="E1014" s="477" t="s">
        <v>22</v>
      </c>
      <c r="F1014" s="477">
        <v>2</v>
      </c>
      <c r="G1014" s="477">
        <f>TRUNC(16.77,2)</f>
        <v>16.77</v>
      </c>
      <c r="H1014" s="477">
        <f t="shared" si="51"/>
        <v>33.54</v>
      </c>
    </row>
    <row r="1015" spans="2:8" s="479" customFormat="1" ht="24" x14ac:dyDescent="0.2">
      <c r="B1015" s="481"/>
      <c r="C1015" s="477" t="s">
        <v>789</v>
      </c>
      <c r="D1015" s="477" t="s">
        <v>790</v>
      </c>
      <c r="E1015" s="477" t="s">
        <v>22</v>
      </c>
      <c r="F1015" s="477">
        <v>1</v>
      </c>
      <c r="G1015" s="477">
        <f>TRUNC(26.61,2)</f>
        <v>26.61</v>
      </c>
      <c r="H1015" s="477">
        <f t="shared" si="51"/>
        <v>26.61</v>
      </c>
    </row>
    <row r="1016" spans="2:8" x14ac:dyDescent="0.2">
      <c r="B1016" s="448"/>
      <c r="C1016" s="76"/>
      <c r="D1016" s="76"/>
      <c r="E1016" s="76"/>
      <c r="F1016" s="76" t="s">
        <v>38</v>
      </c>
      <c r="G1016" s="76"/>
      <c r="H1016" s="76">
        <f>TRUNC(SUM(H1004:H1015),2)</f>
        <v>473.26</v>
      </c>
    </row>
    <row r="1017" spans="2:8" ht="24" x14ac:dyDescent="0.2">
      <c r="B1017" s="448" t="s">
        <v>1150</v>
      </c>
      <c r="C1017" s="76" t="s">
        <v>791</v>
      </c>
      <c r="D1017" s="477" t="s">
        <v>1386</v>
      </c>
      <c r="E1017" s="76" t="s">
        <v>22</v>
      </c>
      <c r="F1017" s="76">
        <v>1</v>
      </c>
      <c r="G1017" s="76">
        <f>TRUNC(H1021,2)</f>
        <v>435.11</v>
      </c>
      <c r="H1017" s="76">
        <f>TRUNC(F1017*G1017,2)</f>
        <v>435.11</v>
      </c>
    </row>
    <row r="1018" spans="2:8" ht="24" x14ac:dyDescent="0.2">
      <c r="B1018" s="448"/>
      <c r="C1018" s="76" t="s">
        <v>792</v>
      </c>
      <c r="D1018" s="477" t="s">
        <v>793</v>
      </c>
      <c r="E1018" s="76" t="s">
        <v>22</v>
      </c>
      <c r="F1018" s="76">
        <v>1</v>
      </c>
      <c r="G1018" s="76">
        <f>TRUNC(415.8,2)</f>
        <v>415.8</v>
      </c>
      <c r="H1018" s="76">
        <f>TRUNC(F1018*G1018,2)</f>
        <v>415.8</v>
      </c>
    </row>
    <row r="1019" spans="2:8" ht="24" x14ac:dyDescent="0.2">
      <c r="B1019" s="448"/>
      <c r="C1019" s="462" t="s">
        <v>1180</v>
      </c>
      <c r="D1019" s="482" t="s">
        <v>1181</v>
      </c>
      <c r="E1019" s="462" t="s">
        <v>37</v>
      </c>
      <c r="F1019" s="76">
        <v>0.75</v>
      </c>
      <c r="G1019" s="462">
        <v>19.97</v>
      </c>
      <c r="H1019" s="76">
        <f t="shared" ref="H1019:H1020" si="52">TRUNC(F1019*G1019,2)</f>
        <v>14.97</v>
      </c>
    </row>
    <row r="1020" spans="2:8" ht="24" x14ac:dyDescent="0.2">
      <c r="B1020" s="448"/>
      <c r="C1020" s="262" t="s">
        <v>35</v>
      </c>
      <c r="D1020" s="483" t="s">
        <v>36</v>
      </c>
      <c r="E1020" s="262" t="s">
        <v>37</v>
      </c>
      <c r="F1020" s="76">
        <v>0.3</v>
      </c>
      <c r="G1020" s="463">
        <v>14.47</v>
      </c>
      <c r="H1020" s="76">
        <f t="shared" si="52"/>
        <v>4.34</v>
      </c>
    </row>
    <row r="1021" spans="2:8" x14ac:dyDescent="0.2">
      <c r="B1021" s="448"/>
      <c r="C1021" s="76"/>
      <c r="D1021" s="477"/>
      <c r="E1021" s="76"/>
      <c r="F1021" s="76" t="s">
        <v>38</v>
      </c>
      <c r="G1021" s="76"/>
      <c r="H1021" s="76">
        <f>TRUNC(SUM(H1018:H1020),2)</f>
        <v>435.11</v>
      </c>
    </row>
    <row r="1022" spans="2:8" x14ac:dyDescent="0.2">
      <c r="B1022" s="456">
        <v>13</v>
      </c>
      <c r="C1022" s="296"/>
      <c r="D1022" s="297" t="s">
        <v>400</v>
      </c>
      <c r="E1022" s="296"/>
      <c r="F1022" s="298"/>
      <c r="G1022" s="298"/>
      <c r="H1022" s="298"/>
    </row>
    <row r="1023" spans="2:8" x14ac:dyDescent="0.2">
      <c r="B1023" s="448" t="s">
        <v>1151</v>
      </c>
      <c r="C1023" s="76" t="s">
        <v>1387</v>
      </c>
      <c r="D1023" s="76" t="s">
        <v>798</v>
      </c>
      <c r="E1023" s="76" t="s">
        <v>16</v>
      </c>
      <c r="F1023" s="76">
        <v>1</v>
      </c>
      <c r="G1023" s="76">
        <f>TRUNC(H1028,2)</f>
        <v>222.9</v>
      </c>
      <c r="H1023" s="76">
        <f>TRUNC(F1023*G1023,2)</f>
        <v>222.9</v>
      </c>
    </row>
    <row r="1024" spans="2:8" x14ac:dyDescent="0.2">
      <c r="B1024" s="448"/>
      <c r="C1024" s="76" t="s">
        <v>1388</v>
      </c>
      <c r="D1024" s="76" t="s">
        <v>799</v>
      </c>
      <c r="E1024" s="76" t="s">
        <v>16</v>
      </c>
      <c r="F1024" s="76">
        <v>1</v>
      </c>
      <c r="G1024" s="76">
        <f>TRUNC(190.94,2)</f>
        <v>190.94</v>
      </c>
      <c r="H1024" s="76">
        <f>TRUNC(F1024*G1024,2)</f>
        <v>190.94</v>
      </c>
    </row>
    <row r="1025" spans="2:8" x14ac:dyDescent="0.2">
      <c r="B1025" s="448"/>
      <c r="C1025" s="76" t="s">
        <v>1389</v>
      </c>
      <c r="D1025" s="76" t="s">
        <v>800</v>
      </c>
      <c r="E1025" s="76" t="s">
        <v>23</v>
      </c>
      <c r="F1025" s="76">
        <v>1.5</v>
      </c>
      <c r="G1025" s="76">
        <f>TRUNC(5.08,2)</f>
        <v>5.08</v>
      </c>
      <c r="H1025" s="76">
        <f>TRUNC(F1025*G1025,2)</f>
        <v>7.62</v>
      </c>
    </row>
    <row r="1026" spans="2:8" x14ac:dyDescent="0.2">
      <c r="B1026" s="448"/>
      <c r="C1026" s="76" t="s">
        <v>1373</v>
      </c>
      <c r="D1026" s="76" t="s">
        <v>738</v>
      </c>
      <c r="E1026" s="76" t="s">
        <v>37</v>
      </c>
      <c r="F1026" s="76">
        <v>0.5</v>
      </c>
      <c r="G1026" s="76">
        <f>TRUNC(26.82,2)</f>
        <v>26.82</v>
      </c>
      <c r="H1026" s="76">
        <f>TRUNC(F1026*G1026,2)</f>
        <v>13.41</v>
      </c>
    </row>
    <row r="1027" spans="2:8" x14ac:dyDescent="0.2">
      <c r="B1027" s="448"/>
      <c r="C1027" s="76" t="s">
        <v>1184</v>
      </c>
      <c r="D1027" s="76" t="s">
        <v>39</v>
      </c>
      <c r="E1027" s="76" t="s">
        <v>37</v>
      </c>
      <c r="F1027" s="76">
        <v>0.5</v>
      </c>
      <c r="G1027" s="76">
        <f>TRUNC(21.86,2)</f>
        <v>21.86</v>
      </c>
      <c r="H1027" s="76">
        <f>TRUNC(F1027*G1027,2)</f>
        <v>10.93</v>
      </c>
    </row>
    <row r="1028" spans="2:8" x14ac:dyDescent="0.2">
      <c r="B1028" s="448"/>
      <c r="C1028" s="76"/>
      <c r="D1028" s="76"/>
      <c r="E1028" s="76"/>
      <c r="F1028" s="76" t="s">
        <v>38</v>
      </c>
      <c r="G1028" s="76"/>
      <c r="H1028" s="76">
        <f>TRUNC(SUM(H1024:H1027),2)</f>
        <v>222.9</v>
      </c>
    </row>
    <row r="1029" spans="2:8" x14ac:dyDescent="0.2">
      <c r="B1029" s="448">
        <v>14</v>
      </c>
      <c r="C1029" s="296"/>
      <c r="D1029" s="264" t="s">
        <v>802</v>
      </c>
      <c r="E1029" s="296"/>
      <c r="F1029" s="298"/>
      <c r="G1029" s="298"/>
      <c r="H1029" s="298"/>
    </row>
    <row r="1030" spans="2:8" ht="48" x14ac:dyDescent="0.2">
      <c r="B1030" s="448" t="s">
        <v>1152</v>
      </c>
      <c r="C1030" s="262" t="s">
        <v>1390</v>
      </c>
      <c r="D1030" s="483" t="s">
        <v>58</v>
      </c>
      <c r="E1030" s="262" t="s">
        <v>16</v>
      </c>
      <c r="F1030" s="263">
        <v>1</v>
      </c>
      <c r="G1030" s="263">
        <f>TRUNC(H1034,2)</f>
        <v>3.5</v>
      </c>
      <c r="H1030" s="263">
        <f>TRUNC(F1030*G1030,2)</f>
        <v>3.5</v>
      </c>
    </row>
    <row r="1031" spans="2:8" x14ac:dyDescent="0.2">
      <c r="B1031" s="448"/>
      <c r="C1031" s="262" t="s">
        <v>1184</v>
      </c>
      <c r="D1031" s="483" t="s">
        <v>39</v>
      </c>
      <c r="E1031" s="262" t="s">
        <v>37</v>
      </c>
      <c r="F1031" s="263">
        <v>7.0000000000000001E-3</v>
      </c>
      <c r="G1031" s="263">
        <f>TRUNC(21.86,2)</f>
        <v>21.86</v>
      </c>
      <c r="H1031" s="263">
        <f>TRUNC(F1031*G1031,2)</f>
        <v>0.15</v>
      </c>
    </row>
    <row r="1032" spans="2:8" x14ac:dyDescent="0.2">
      <c r="B1032" s="448"/>
      <c r="C1032" s="262" t="s">
        <v>1191</v>
      </c>
      <c r="D1032" s="483" t="s">
        <v>47</v>
      </c>
      <c r="E1032" s="262" t="s">
        <v>37</v>
      </c>
      <c r="F1032" s="263">
        <v>7.0000000000000007E-2</v>
      </c>
      <c r="G1032" s="263">
        <f>TRUNC(28,2)</f>
        <v>28</v>
      </c>
      <c r="H1032" s="263">
        <f>TRUNC(F1032*G1032,2)</f>
        <v>1.96</v>
      </c>
    </row>
    <row r="1033" spans="2:8" ht="48" x14ac:dyDescent="0.2">
      <c r="B1033" s="448"/>
      <c r="C1033" s="262" t="s">
        <v>1391</v>
      </c>
      <c r="D1033" s="483" t="s">
        <v>1392</v>
      </c>
      <c r="E1033" s="262" t="s">
        <v>19</v>
      </c>
      <c r="F1033" s="263">
        <v>4.1999999999999997E-3</v>
      </c>
      <c r="G1033" s="263">
        <f>TRUNC(332.76,2)</f>
        <v>332.76</v>
      </c>
      <c r="H1033" s="263">
        <f>TRUNC(F1033*G1033,2)</f>
        <v>1.39</v>
      </c>
    </row>
    <row r="1034" spans="2:8" x14ac:dyDescent="0.2">
      <c r="B1034" s="448"/>
      <c r="C1034" s="262"/>
      <c r="D1034" s="262"/>
      <c r="E1034" s="262"/>
      <c r="F1034" s="263" t="s">
        <v>38</v>
      </c>
      <c r="G1034" s="263"/>
      <c r="H1034" s="263">
        <f>TRUNC(SUM(H1031:H1033),2)</f>
        <v>3.5</v>
      </c>
    </row>
    <row r="1035" spans="2:8" ht="72" x14ac:dyDescent="0.2">
      <c r="B1035" s="448" t="s">
        <v>1153</v>
      </c>
      <c r="C1035" s="79" t="s">
        <v>804</v>
      </c>
      <c r="D1035" s="260" t="s">
        <v>805</v>
      </c>
      <c r="E1035" s="76" t="s">
        <v>16</v>
      </c>
      <c r="F1035" s="76">
        <v>1</v>
      </c>
      <c r="G1035" s="76">
        <f>TRUNC(H1039,2)</f>
        <v>24.6</v>
      </c>
      <c r="H1035" s="76">
        <f>TRUNC(F1035*G1035,2)</f>
        <v>24.6</v>
      </c>
    </row>
    <row r="1036" spans="2:8" ht="24" x14ac:dyDescent="0.2">
      <c r="B1036" s="448"/>
      <c r="C1036" s="79" t="s">
        <v>35</v>
      </c>
      <c r="D1036" s="260" t="s">
        <v>36</v>
      </c>
      <c r="E1036" s="76" t="s">
        <v>37</v>
      </c>
      <c r="F1036" s="76">
        <v>0.51500000000000001</v>
      </c>
      <c r="G1036" s="76">
        <f>TRUNC(15.09,2)</f>
        <v>15.09</v>
      </c>
      <c r="H1036" s="76">
        <f>TRUNC(F1036*G1036,2)</f>
        <v>7.77</v>
      </c>
    </row>
    <row r="1037" spans="2:8" ht="24" x14ac:dyDescent="0.2">
      <c r="B1037" s="448"/>
      <c r="C1037" s="79" t="s">
        <v>376</v>
      </c>
      <c r="D1037" s="260" t="s">
        <v>377</v>
      </c>
      <c r="E1037" s="76" t="s">
        <v>37</v>
      </c>
      <c r="F1037" s="76">
        <v>0.51500000000000001</v>
      </c>
      <c r="G1037" s="76">
        <f>TRUNC(20.83,2)</f>
        <v>20.83</v>
      </c>
      <c r="H1037" s="76">
        <f>TRUNC(F1037*G1037,2)</f>
        <v>10.72</v>
      </c>
    </row>
    <row r="1038" spans="2:8" ht="24" x14ac:dyDescent="0.2">
      <c r="B1038" s="448"/>
      <c r="C1038" s="79" t="s">
        <v>615</v>
      </c>
      <c r="D1038" s="260" t="s">
        <v>616</v>
      </c>
      <c r="E1038" s="76" t="s">
        <v>19</v>
      </c>
      <c r="F1038" s="76">
        <v>2.1000000000000001E-2</v>
      </c>
      <c r="G1038" s="76">
        <f>TRUNC(291.3115,2)</f>
        <v>291.31</v>
      </c>
      <c r="H1038" s="76">
        <f>TRUNC(F1038*G1038,2)</f>
        <v>6.11</v>
      </c>
    </row>
    <row r="1039" spans="2:8" x14ac:dyDescent="0.2">
      <c r="B1039" s="448"/>
      <c r="C1039" s="79"/>
      <c r="D1039" s="260"/>
      <c r="E1039" s="76"/>
      <c r="F1039" s="76" t="s">
        <v>38</v>
      </c>
      <c r="G1039" s="76"/>
      <c r="H1039" s="76">
        <f>TRUNC(SUM(H1036:H1038),2)</f>
        <v>24.6</v>
      </c>
    </row>
    <row r="1040" spans="2:8" ht="48" x14ac:dyDescent="0.2">
      <c r="B1040" s="448" t="s">
        <v>1154</v>
      </c>
      <c r="C1040" s="79" t="s">
        <v>806</v>
      </c>
      <c r="D1040" s="260" t="s">
        <v>1393</v>
      </c>
      <c r="E1040" s="76" t="s">
        <v>16</v>
      </c>
      <c r="F1040" s="76">
        <v>1</v>
      </c>
      <c r="G1040" s="76">
        <f>TRUNC(H1044,2)</f>
        <v>19.37</v>
      </c>
      <c r="H1040" s="76">
        <f>TRUNC(F1040*G1040,2)</f>
        <v>19.37</v>
      </c>
    </row>
    <row r="1041" spans="2:8" ht="24" x14ac:dyDescent="0.2">
      <c r="B1041" s="448"/>
      <c r="C1041" s="79" t="s">
        <v>35</v>
      </c>
      <c r="D1041" s="260" t="s">
        <v>36</v>
      </c>
      <c r="E1041" s="76" t="s">
        <v>37</v>
      </c>
      <c r="F1041" s="76">
        <v>0.41200000000000003</v>
      </c>
      <c r="G1041" s="76">
        <f>TRUNC(15.09,2)</f>
        <v>15.09</v>
      </c>
      <c r="H1041" s="76">
        <f>TRUNC(F1041*G1041,2)</f>
        <v>6.21</v>
      </c>
    </row>
    <row r="1042" spans="2:8" ht="24" x14ac:dyDescent="0.2">
      <c r="B1042" s="448"/>
      <c r="C1042" s="79" t="s">
        <v>376</v>
      </c>
      <c r="D1042" s="260" t="s">
        <v>377</v>
      </c>
      <c r="E1042" s="76" t="s">
        <v>37</v>
      </c>
      <c r="F1042" s="76">
        <v>0.41200000000000003</v>
      </c>
      <c r="G1042" s="76">
        <f>TRUNC(20.83,2)</f>
        <v>20.83</v>
      </c>
      <c r="H1042" s="76">
        <f>TRUNC(F1042*G1042,2)</f>
        <v>8.58</v>
      </c>
    </row>
    <row r="1043" spans="2:8" ht="24" x14ac:dyDescent="0.2">
      <c r="B1043" s="448"/>
      <c r="C1043" s="79" t="s">
        <v>615</v>
      </c>
      <c r="D1043" s="260" t="s">
        <v>616</v>
      </c>
      <c r="E1043" s="76" t="s">
        <v>19</v>
      </c>
      <c r="F1043" s="76">
        <v>1.575E-2</v>
      </c>
      <c r="G1043" s="76">
        <f>TRUNC(291.3115,2)</f>
        <v>291.31</v>
      </c>
      <c r="H1043" s="76">
        <f>TRUNC(F1043*G1043,2)</f>
        <v>4.58</v>
      </c>
    </row>
    <row r="1044" spans="2:8" x14ac:dyDescent="0.2">
      <c r="B1044" s="448"/>
      <c r="C1044" s="79"/>
      <c r="D1044" s="260"/>
      <c r="E1044" s="76"/>
      <c r="F1044" s="76" t="s">
        <v>38</v>
      </c>
      <c r="G1044" s="76"/>
      <c r="H1044" s="76">
        <f>TRUNC(SUM(H1041:H1043),2)</f>
        <v>19.37</v>
      </c>
    </row>
    <row r="1045" spans="2:8" x14ac:dyDescent="0.2">
      <c r="B1045" s="448"/>
      <c r="C1045" s="79"/>
      <c r="D1045" s="260"/>
      <c r="E1045" s="76"/>
      <c r="F1045" s="76"/>
      <c r="G1045" s="76"/>
      <c r="H1045" s="76"/>
    </row>
    <row r="1046" spans="2:8" ht="48" x14ac:dyDescent="0.2">
      <c r="B1046" s="448" t="s">
        <v>1155</v>
      </c>
      <c r="C1046" s="62" t="s">
        <v>808</v>
      </c>
      <c r="D1046" s="260" t="s">
        <v>985</v>
      </c>
      <c r="E1046" s="76" t="s">
        <v>16</v>
      </c>
      <c r="F1046" s="76">
        <v>1</v>
      </c>
      <c r="G1046" s="76">
        <f>TRUNC(50.4688,2)</f>
        <v>50.46</v>
      </c>
      <c r="H1046" s="76">
        <f t="shared" ref="H1046:H1052" si="53">TRUNC(F1046*G1046,2)</f>
        <v>50.46</v>
      </c>
    </row>
    <row r="1047" spans="2:8" x14ac:dyDescent="0.2">
      <c r="B1047" s="448"/>
      <c r="C1047" s="260" t="s">
        <v>1394</v>
      </c>
      <c r="D1047" s="260" t="s">
        <v>809</v>
      </c>
      <c r="E1047" s="76" t="s">
        <v>23</v>
      </c>
      <c r="F1047" s="76">
        <v>0.22</v>
      </c>
      <c r="G1047" s="76">
        <f>TRUNC(3.18,2)</f>
        <v>3.18</v>
      </c>
      <c r="H1047" s="76">
        <f t="shared" si="53"/>
        <v>0.69</v>
      </c>
    </row>
    <row r="1048" spans="2:8" x14ac:dyDescent="0.2">
      <c r="B1048" s="448"/>
      <c r="C1048" s="260" t="s">
        <v>1395</v>
      </c>
      <c r="D1048" s="260" t="s">
        <v>810</v>
      </c>
      <c r="E1048" s="76" t="s">
        <v>23</v>
      </c>
      <c r="F1048" s="76">
        <v>6.14</v>
      </c>
      <c r="G1048" s="76">
        <f>TRUNC(0.5,2)</f>
        <v>0.5</v>
      </c>
      <c r="H1048" s="76">
        <f t="shared" si="53"/>
        <v>3.07</v>
      </c>
    </row>
    <row r="1049" spans="2:8" ht="36" x14ac:dyDescent="0.2">
      <c r="B1049" s="448"/>
      <c r="C1049" s="260" t="s">
        <v>1396</v>
      </c>
      <c r="D1049" s="260" t="s">
        <v>811</v>
      </c>
      <c r="E1049" s="76" t="s">
        <v>16</v>
      </c>
      <c r="F1049" s="76">
        <v>0</v>
      </c>
      <c r="G1049" s="76">
        <f>TRUNC(17.95,2)</f>
        <v>17.95</v>
      </c>
      <c r="H1049" s="76">
        <f t="shared" si="53"/>
        <v>0</v>
      </c>
    </row>
    <row r="1050" spans="2:8" ht="24" x14ac:dyDescent="0.2">
      <c r="B1050" s="448"/>
      <c r="C1050" s="76" t="s">
        <v>1397</v>
      </c>
      <c r="D1050" s="260" t="s">
        <v>812</v>
      </c>
      <c r="E1050" s="76" t="s">
        <v>16</v>
      </c>
      <c r="F1050" s="76">
        <v>1.08</v>
      </c>
      <c r="G1050" s="76">
        <v>48.77</v>
      </c>
      <c r="H1050" s="76">
        <f>TRUNC(F1050*G1050,2)</f>
        <v>52.67</v>
      </c>
    </row>
    <row r="1051" spans="2:8" x14ac:dyDescent="0.2">
      <c r="B1051" s="448"/>
      <c r="C1051" s="260" t="s">
        <v>1184</v>
      </c>
      <c r="D1051" s="260" t="s">
        <v>39</v>
      </c>
      <c r="E1051" s="76" t="s">
        <v>37</v>
      </c>
      <c r="F1051" s="76">
        <v>0.36</v>
      </c>
      <c r="G1051" s="76">
        <f>TRUNC(21.86,2)</f>
        <v>21.86</v>
      </c>
      <c r="H1051" s="76">
        <f t="shared" si="53"/>
        <v>7.86</v>
      </c>
    </row>
    <row r="1052" spans="2:8" ht="24" x14ac:dyDescent="0.2">
      <c r="B1052" s="448"/>
      <c r="C1052" s="260" t="s">
        <v>1185</v>
      </c>
      <c r="D1052" s="260" t="s">
        <v>499</v>
      </c>
      <c r="E1052" s="76" t="s">
        <v>37</v>
      </c>
      <c r="F1052" s="76">
        <v>0.66</v>
      </c>
      <c r="G1052" s="76">
        <f>TRUNC(29.46,2)</f>
        <v>29.46</v>
      </c>
      <c r="H1052" s="76">
        <f t="shared" si="53"/>
        <v>19.440000000000001</v>
      </c>
    </row>
    <row r="1053" spans="2:8" x14ac:dyDescent="0.2">
      <c r="B1053" s="448"/>
      <c r="C1053" s="260"/>
      <c r="D1053" s="260"/>
      <c r="E1053" s="76"/>
      <c r="F1053" s="76" t="s">
        <v>38</v>
      </c>
      <c r="G1053" s="76"/>
      <c r="H1053" s="76">
        <f>TRUNC(SUM(H1047:H1052),2)</f>
        <v>83.73</v>
      </c>
    </row>
    <row r="1054" spans="2:8" ht="16.5" thickBot="1" x14ac:dyDescent="0.25">
      <c r="B1054" s="456">
        <v>15</v>
      </c>
      <c r="C1054" s="300"/>
      <c r="D1054" s="304" t="s">
        <v>401</v>
      </c>
      <c r="E1054" s="300"/>
      <c r="F1054" s="302"/>
      <c r="G1054" s="302"/>
      <c r="H1054" s="302"/>
    </row>
    <row r="1055" spans="2:8" ht="108" x14ac:dyDescent="0.2">
      <c r="B1055" s="457" t="s">
        <v>828</v>
      </c>
      <c r="C1055" s="411" t="s">
        <v>813</v>
      </c>
      <c r="D1055" s="408" t="s">
        <v>1398</v>
      </c>
      <c r="E1055" s="412" t="s">
        <v>16</v>
      </c>
      <c r="F1055" s="413">
        <v>1</v>
      </c>
      <c r="G1055" s="413">
        <f>TRUNC(H1065,2)</f>
        <v>60.16</v>
      </c>
      <c r="H1055" s="414">
        <f t="shared" ref="H1055:H1064" si="54">TRUNC(F1055*G1055,2)</f>
        <v>60.16</v>
      </c>
    </row>
    <row r="1056" spans="2:8" ht="24" x14ac:dyDescent="0.2">
      <c r="B1056" s="457"/>
      <c r="C1056" s="484" t="s">
        <v>114</v>
      </c>
      <c r="D1056" s="294" t="s">
        <v>115</v>
      </c>
      <c r="E1056" s="296" t="s">
        <v>23</v>
      </c>
      <c r="F1056" s="298">
        <v>14</v>
      </c>
      <c r="G1056" s="298">
        <f>TRUNC(0.52,2)</f>
        <v>0.52</v>
      </c>
      <c r="H1056" s="485">
        <f t="shared" si="54"/>
        <v>7.28</v>
      </c>
    </row>
    <row r="1057" spans="2:8" x14ac:dyDescent="0.2">
      <c r="B1057" s="457"/>
      <c r="C1057" s="484" t="s">
        <v>111</v>
      </c>
      <c r="D1057" s="294" t="s">
        <v>814</v>
      </c>
      <c r="E1057" s="296" t="s">
        <v>23</v>
      </c>
      <c r="F1057" s="298">
        <v>25.2</v>
      </c>
      <c r="G1057" s="298">
        <f>TRUNC(0.337,2)</f>
        <v>0.33</v>
      </c>
      <c r="H1057" s="485">
        <f t="shared" si="54"/>
        <v>8.31</v>
      </c>
    </row>
    <row r="1058" spans="2:8" ht="24" x14ac:dyDescent="0.2">
      <c r="B1058" s="457"/>
      <c r="C1058" s="484" t="s">
        <v>112</v>
      </c>
      <c r="D1058" s="294" t="s">
        <v>113</v>
      </c>
      <c r="E1058" s="296" t="s">
        <v>19</v>
      </c>
      <c r="F1058" s="298">
        <v>4.3999999999999997E-2</v>
      </c>
      <c r="G1058" s="298">
        <f>TRUNC(56.5,2)</f>
        <v>56.5</v>
      </c>
      <c r="H1058" s="485">
        <f t="shared" si="54"/>
        <v>2.48</v>
      </c>
    </row>
    <row r="1059" spans="2:8" ht="24" x14ac:dyDescent="0.2">
      <c r="B1059" s="457"/>
      <c r="C1059" s="484" t="s">
        <v>35</v>
      </c>
      <c r="D1059" s="294" t="s">
        <v>36</v>
      </c>
      <c r="E1059" s="296" t="s">
        <v>37</v>
      </c>
      <c r="F1059" s="298">
        <v>0.77249999999999996</v>
      </c>
      <c r="G1059" s="298">
        <f>TRUNC(15.09,2)</f>
        <v>15.09</v>
      </c>
      <c r="H1059" s="485">
        <f t="shared" si="54"/>
        <v>11.65</v>
      </c>
    </row>
    <row r="1060" spans="2:8" ht="24" x14ac:dyDescent="0.2">
      <c r="B1060" s="457"/>
      <c r="C1060" s="484" t="s">
        <v>815</v>
      </c>
      <c r="D1060" s="294" t="s">
        <v>816</v>
      </c>
      <c r="E1060" s="296" t="s">
        <v>37</v>
      </c>
      <c r="F1060" s="298">
        <v>1.1844999999999999</v>
      </c>
      <c r="G1060" s="298">
        <f>TRUNC(20.83,2)</f>
        <v>20.83</v>
      </c>
      <c r="H1060" s="485">
        <f t="shared" si="54"/>
        <v>24.67</v>
      </c>
    </row>
    <row r="1061" spans="2:8" ht="24" x14ac:dyDescent="0.2">
      <c r="B1061" s="457"/>
      <c r="C1061" s="484" t="s">
        <v>817</v>
      </c>
      <c r="D1061" s="294" t="s">
        <v>818</v>
      </c>
      <c r="E1061" s="296" t="s">
        <v>22</v>
      </c>
      <c r="F1061" s="298">
        <v>0.08</v>
      </c>
      <c r="G1061" s="298">
        <f>TRUNC(17.52,2)</f>
        <v>17.52</v>
      </c>
      <c r="H1061" s="485">
        <f t="shared" si="54"/>
        <v>1.4</v>
      </c>
    </row>
    <row r="1062" spans="2:8" ht="24" x14ac:dyDescent="0.2">
      <c r="B1062" s="457"/>
      <c r="C1062" s="484" t="s">
        <v>819</v>
      </c>
      <c r="D1062" s="294" t="s">
        <v>820</v>
      </c>
      <c r="E1062" s="296" t="s">
        <v>22</v>
      </c>
      <c r="F1062" s="298">
        <v>0.1</v>
      </c>
      <c r="G1062" s="298">
        <f>TRUNC(17.52,2)</f>
        <v>17.52</v>
      </c>
      <c r="H1062" s="485">
        <f t="shared" si="54"/>
        <v>1.75</v>
      </c>
    </row>
    <row r="1063" spans="2:8" x14ac:dyDescent="0.2">
      <c r="B1063" s="457"/>
      <c r="C1063" s="484" t="s">
        <v>821</v>
      </c>
      <c r="D1063" s="294" t="s">
        <v>822</v>
      </c>
      <c r="E1063" s="296" t="s">
        <v>37</v>
      </c>
      <c r="F1063" s="298">
        <v>0.65</v>
      </c>
      <c r="G1063" s="298">
        <f>TRUNC(0.8148,2)</f>
        <v>0.81</v>
      </c>
      <c r="H1063" s="485">
        <f t="shared" si="54"/>
        <v>0.52</v>
      </c>
    </row>
    <row r="1064" spans="2:8" x14ac:dyDescent="0.2">
      <c r="B1064" s="457"/>
      <c r="C1064" s="484" t="s">
        <v>823</v>
      </c>
      <c r="D1064" s="294" t="s">
        <v>824</v>
      </c>
      <c r="E1064" s="296" t="s">
        <v>37</v>
      </c>
      <c r="F1064" s="298">
        <v>0.5</v>
      </c>
      <c r="G1064" s="298">
        <f>TRUNC(4.2037,2)</f>
        <v>4.2</v>
      </c>
      <c r="H1064" s="485">
        <f t="shared" si="54"/>
        <v>2.1</v>
      </c>
    </row>
    <row r="1065" spans="2:8" x14ac:dyDescent="0.2">
      <c r="B1065" s="457"/>
      <c r="C1065" s="484"/>
      <c r="D1065" s="294"/>
      <c r="E1065" s="296"/>
      <c r="F1065" s="298" t="s">
        <v>38</v>
      </c>
      <c r="G1065" s="298"/>
      <c r="H1065" s="485">
        <f>TRUNC(SUM(H1056:H1064),2)</f>
        <v>60.16</v>
      </c>
    </row>
    <row r="1066" spans="2:8" ht="48" x14ac:dyDescent="0.2">
      <c r="B1066" s="457" t="s">
        <v>359</v>
      </c>
      <c r="C1066" s="415" t="s">
        <v>825</v>
      </c>
      <c r="D1066" s="260" t="s">
        <v>1399</v>
      </c>
      <c r="E1066" s="262" t="s">
        <v>16</v>
      </c>
      <c r="F1066" s="263">
        <v>1</v>
      </c>
      <c r="G1066" s="263">
        <f>TRUNC(H1070,2)</f>
        <v>34.479999999999997</v>
      </c>
      <c r="H1066" s="416">
        <f>TRUNC(F1066*G1066,2)</f>
        <v>34.479999999999997</v>
      </c>
    </row>
    <row r="1067" spans="2:8" ht="24" x14ac:dyDescent="0.2">
      <c r="B1067" s="457"/>
      <c r="C1067" s="415" t="s">
        <v>35</v>
      </c>
      <c r="D1067" s="260" t="s">
        <v>36</v>
      </c>
      <c r="E1067" s="262" t="s">
        <v>37</v>
      </c>
      <c r="F1067" s="263">
        <v>0.6695000000000001</v>
      </c>
      <c r="G1067" s="263">
        <f>TRUNC(15.09,2)</f>
        <v>15.09</v>
      </c>
      <c r="H1067" s="416">
        <f>TRUNC(F1067*G1067,2)</f>
        <v>10.1</v>
      </c>
    </row>
    <row r="1068" spans="2:8" ht="24" x14ac:dyDescent="0.2">
      <c r="B1068" s="457"/>
      <c r="C1068" s="415" t="s">
        <v>376</v>
      </c>
      <c r="D1068" s="260" t="s">
        <v>377</v>
      </c>
      <c r="E1068" s="262" t="s">
        <v>37</v>
      </c>
      <c r="F1068" s="263">
        <v>0.6695000000000001</v>
      </c>
      <c r="G1068" s="263">
        <f>TRUNC(20.83,2)</f>
        <v>20.83</v>
      </c>
      <c r="H1068" s="416">
        <f>TRUNC(F1068*G1068,2)</f>
        <v>13.94</v>
      </c>
    </row>
    <row r="1069" spans="2:8" ht="24" x14ac:dyDescent="0.2">
      <c r="B1069" s="457"/>
      <c r="C1069" s="415" t="s">
        <v>826</v>
      </c>
      <c r="D1069" s="260" t="s">
        <v>827</v>
      </c>
      <c r="E1069" s="262" t="s">
        <v>19</v>
      </c>
      <c r="F1069" s="263">
        <v>0.04</v>
      </c>
      <c r="G1069" s="263">
        <f>TRUNC(261.1585,2)</f>
        <v>261.14999999999998</v>
      </c>
      <c r="H1069" s="416">
        <f>TRUNC(F1069*G1069,2)</f>
        <v>10.44</v>
      </c>
    </row>
    <row r="1070" spans="2:8" x14ac:dyDescent="0.2">
      <c r="B1070" s="457"/>
      <c r="C1070" s="415"/>
      <c r="D1070" s="260"/>
      <c r="E1070" s="262"/>
      <c r="F1070" s="263" t="s">
        <v>38</v>
      </c>
      <c r="G1070" s="263"/>
      <c r="H1070" s="416">
        <f>TRUNC(SUM(H1067:H1069),2)</f>
        <v>34.479999999999997</v>
      </c>
    </row>
    <row r="1071" spans="2:8" ht="48" x14ac:dyDescent="0.2">
      <c r="B1071" s="457" t="s">
        <v>828</v>
      </c>
      <c r="C1071" s="417" t="s">
        <v>1400</v>
      </c>
      <c r="D1071" s="260" t="s">
        <v>1401</v>
      </c>
      <c r="E1071" s="262" t="s">
        <v>16</v>
      </c>
      <c r="F1071" s="263">
        <v>1</v>
      </c>
      <c r="G1071" s="263">
        <f>TRUNC(H1075,2)</f>
        <v>25.56</v>
      </c>
      <c r="H1071" s="416">
        <f>TRUNC(F1071*G1071,2)</f>
        <v>25.56</v>
      </c>
    </row>
    <row r="1072" spans="2:8" ht="24" x14ac:dyDescent="0.2">
      <c r="B1072" s="457"/>
      <c r="C1072" s="417" t="s">
        <v>35</v>
      </c>
      <c r="D1072" s="260" t="s">
        <v>36</v>
      </c>
      <c r="E1072" s="262" t="s">
        <v>37</v>
      </c>
      <c r="F1072" s="263">
        <v>0.56650000000000011</v>
      </c>
      <c r="G1072" s="263">
        <f>TRUNC(15.09,2)</f>
        <v>15.09</v>
      </c>
      <c r="H1072" s="416">
        <f>TRUNC(F1072*G1072,2)</f>
        <v>8.5399999999999991</v>
      </c>
    </row>
    <row r="1073" spans="2:10" ht="24" x14ac:dyDescent="0.2">
      <c r="B1073" s="457"/>
      <c r="C1073" s="417" t="s">
        <v>376</v>
      </c>
      <c r="D1073" s="260" t="s">
        <v>377</v>
      </c>
      <c r="E1073" s="262" t="s">
        <v>37</v>
      </c>
      <c r="F1073" s="263">
        <v>0.56650000000000011</v>
      </c>
      <c r="G1073" s="263">
        <f>TRUNC(20.83,2)</f>
        <v>20.83</v>
      </c>
      <c r="H1073" s="416">
        <f>TRUNC(F1073*G1073,2)</f>
        <v>11.8</v>
      </c>
    </row>
    <row r="1074" spans="2:10" ht="24" x14ac:dyDescent="0.2">
      <c r="B1074" s="457"/>
      <c r="C1074" s="417" t="s">
        <v>826</v>
      </c>
      <c r="D1074" s="260" t="s">
        <v>827</v>
      </c>
      <c r="E1074" s="262" t="s">
        <v>19</v>
      </c>
      <c r="F1074" s="263">
        <v>0.02</v>
      </c>
      <c r="G1074" s="263">
        <f>TRUNC(261.1585,2)</f>
        <v>261.14999999999998</v>
      </c>
      <c r="H1074" s="416">
        <f>TRUNC(F1074*G1074,2)</f>
        <v>5.22</v>
      </c>
    </row>
    <row r="1075" spans="2:10" x14ac:dyDescent="0.2">
      <c r="B1075" s="457"/>
      <c r="C1075" s="417"/>
      <c r="D1075" s="260"/>
      <c r="E1075" s="262"/>
      <c r="F1075" s="263" t="s">
        <v>38</v>
      </c>
      <c r="G1075" s="263"/>
      <c r="H1075" s="416">
        <f>TRUNC(SUM(H1072:H1074),2)</f>
        <v>25.56</v>
      </c>
    </row>
    <row r="1076" spans="2:10" ht="36" x14ac:dyDescent="0.2">
      <c r="B1076" s="457" t="s">
        <v>828</v>
      </c>
      <c r="C1076" s="418" t="s">
        <v>1402</v>
      </c>
      <c r="D1076" s="419" t="s">
        <v>829</v>
      </c>
      <c r="E1076" s="303" t="s">
        <v>18</v>
      </c>
      <c r="F1076" s="420">
        <v>1</v>
      </c>
      <c r="G1076" s="420">
        <f>TRUNC(H1082,2)</f>
        <v>10.98</v>
      </c>
      <c r="H1076" s="421">
        <f t="shared" ref="H1076:H1081" si="55">TRUNC(F1076*G1076,2)</f>
        <v>10.98</v>
      </c>
    </row>
    <row r="1077" spans="2:10" ht="24" x14ac:dyDescent="0.2">
      <c r="B1077" s="457"/>
      <c r="C1077" s="418" t="s">
        <v>116</v>
      </c>
      <c r="D1077" s="419" t="s">
        <v>117</v>
      </c>
      <c r="E1077" s="303" t="s">
        <v>18</v>
      </c>
      <c r="F1077" s="420">
        <v>1.81</v>
      </c>
      <c r="G1077" s="420">
        <f>TRUNC(0.7,2)</f>
        <v>0.7</v>
      </c>
      <c r="H1077" s="421">
        <f t="shared" si="55"/>
        <v>1.26</v>
      </c>
    </row>
    <row r="1078" spans="2:10" x14ac:dyDescent="0.2">
      <c r="B1078" s="457"/>
      <c r="C1078" s="418" t="s">
        <v>111</v>
      </c>
      <c r="D1078" s="419" t="s">
        <v>814</v>
      </c>
      <c r="E1078" s="303" t="s">
        <v>23</v>
      </c>
      <c r="F1078" s="420">
        <v>2.17</v>
      </c>
      <c r="G1078" s="420">
        <f>TRUNC(0.337,2)</f>
        <v>0.33</v>
      </c>
      <c r="H1078" s="421">
        <f t="shared" si="55"/>
        <v>0.71</v>
      </c>
    </row>
    <row r="1079" spans="2:10" ht="24" x14ac:dyDescent="0.2">
      <c r="B1079" s="457"/>
      <c r="C1079" s="418" t="s">
        <v>112</v>
      </c>
      <c r="D1079" s="419" t="s">
        <v>113</v>
      </c>
      <c r="E1079" s="303" t="s">
        <v>19</v>
      </c>
      <c r="F1079" s="420">
        <v>5.0000000000000001E-3</v>
      </c>
      <c r="G1079" s="420">
        <f>TRUNC(56.5,2)</f>
        <v>56.5</v>
      </c>
      <c r="H1079" s="421">
        <f t="shared" si="55"/>
        <v>0.28000000000000003</v>
      </c>
    </row>
    <row r="1080" spans="2:10" ht="36" x14ac:dyDescent="0.2">
      <c r="B1080" s="457"/>
      <c r="C1080" s="418" t="s">
        <v>1460</v>
      </c>
      <c r="D1080" s="419" t="s">
        <v>1461</v>
      </c>
      <c r="E1080" s="303" t="s">
        <v>37</v>
      </c>
      <c r="F1080" s="420">
        <v>0.186</v>
      </c>
      <c r="G1080" s="420">
        <v>10.78</v>
      </c>
      <c r="H1080" s="421">
        <f t="shared" si="55"/>
        <v>2</v>
      </c>
    </row>
    <row r="1081" spans="2:10" ht="24" x14ac:dyDescent="0.2">
      <c r="B1081" s="457"/>
      <c r="C1081" s="418" t="s">
        <v>61</v>
      </c>
      <c r="D1081" s="419" t="s">
        <v>62</v>
      </c>
      <c r="E1081" s="303" t="s">
        <v>37</v>
      </c>
      <c r="F1081" s="420">
        <v>0.373</v>
      </c>
      <c r="G1081" s="420">
        <v>18.05</v>
      </c>
      <c r="H1081" s="421">
        <f t="shared" si="55"/>
        <v>6.73</v>
      </c>
    </row>
    <row r="1082" spans="2:10" x14ac:dyDescent="0.2">
      <c r="B1082" s="457"/>
      <c r="C1082" s="418"/>
      <c r="D1082" s="419"/>
      <c r="E1082" s="303"/>
      <c r="F1082" s="420" t="s">
        <v>38</v>
      </c>
      <c r="G1082" s="420"/>
      <c r="H1082" s="421">
        <f>TRUNC(SUM(H1077:H1081),2)</f>
        <v>10.98</v>
      </c>
    </row>
    <row r="1083" spans="2:10" ht="19.5" thickBot="1" x14ac:dyDescent="0.25">
      <c r="B1083" s="458" t="s">
        <v>1156</v>
      </c>
      <c r="C1083" s="422"/>
      <c r="D1083" s="749" t="s">
        <v>830</v>
      </c>
      <c r="E1083" s="761"/>
      <c r="F1083" s="761"/>
      <c r="G1083" s="423"/>
      <c r="H1083" s="424">
        <f>G1055-G1066+G1071+G1076</f>
        <v>62.22</v>
      </c>
      <c r="I1083" s="750"/>
      <c r="J1083" s="751"/>
    </row>
    <row r="1084" spans="2:10" ht="12" customHeight="1" x14ac:dyDescent="0.2">
      <c r="B1084" s="448"/>
      <c r="C1084" s="750" t="s">
        <v>831</v>
      </c>
      <c r="D1084" s="760"/>
      <c r="E1084" s="305"/>
      <c r="F1084" s="306"/>
      <c r="G1084" s="306"/>
      <c r="H1084" s="306"/>
    </row>
    <row r="1085" spans="2:10" ht="12" customHeight="1" x14ac:dyDescent="0.2">
      <c r="B1085" s="448" t="s">
        <v>1157</v>
      </c>
      <c r="C1085" s="76" t="s">
        <v>1403</v>
      </c>
      <c r="D1085" s="260" t="s">
        <v>833</v>
      </c>
      <c r="E1085" s="76" t="s">
        <v>16</v>
      </c>
      <c r="F1085" s="76">
        <v>1</v>
      </c>
      <c r="G1085" s="76">
        <f>TRUNC(H1091,2)</f>
        <v>81.180000000000007</v>
      </c>
      <c r="H1085" s="76">
        <f t="shared" ref="H1085:H1090" si="56">TRUNC(F1085*G1085,2)</f>
        <v>81.180000000000007</v>
      </c>
    </row>
    <row r="1086" spans="2:10" ht="12" customHeight="1" x14ac:dyDescent="0.2">
      <c r="B1086" s="448"/>
      <c r="C1086" s="76" t="s">
        <v>1404</v>
      </c>
      <c r="D1086" s="260" t="s">
        <v>834</v>
      </c>
      <c r="E1086" s="76" t="s">
        <v>23</v>
      </c>
      <c r="F1086" s="76">
        <v>8.6199999999999992</v>
      </c>
      <c r="G1086" s="76">
        <f>TRUNC(1.52,2)</f>
        <v>1.52</v>
      </c>
      <c r="H1086" s="76">
        <f t="shared" si="56"/>
        <v>13.1</v>
      </c>
    </row>
    <row r="1087" spans="2:10" ht="12" customHeight="1" x14ac:dyDescent="0.2">
      <c r="B1087" s="448"/>
      <c r="C1087" s="76" t="s">
        <v>1394</v>
      </c>
      <c r="D1087" s="260" t="s">
        <v>809</v>
      </c>
      <c r="E1087" s="76" t="s">
        <v>23</v>
      </c>
      <c r="F1087" s="76">
        <v>0.24</v>
      </c>
      <c r="G1087" s="76">
        <f>TRUNC(3.18,2)</f>
        <v>3.18</v>
      </c>
      <c r="H1087" s="76">
        <f t="shared" si="56"/>
        <v>0.76</v>
      </c>
    </row>
    <row r="1088" spans="2:10" ht="12" customHeight="1" x14ac:dyDescent="0.2">
      <c r="B1088" s="448"/>
      <c r="C1088" s="76" t="s">
        <v>1397</v>
      </c>
      <c r="D1088" s="260" t="s">
        <v>812</v>
      </c>
      <c r="E1088" s="76" t="s">
        <v>16</v>
      </c>
      <c r="F1088" s="76">
        <v>1.06</v>
      </c>
      <c r="G1088" s="76">
        <f>TRUNC(48.77,2)</f>
        <v>48.77</v>
      </c>
      <c r="H1088" s="76">
        <f t="shared" si="56"/>
        <v>51.69</v>
      </c>
    </row>
    <row r="1089" spans="2:8" ht="12" customHeight="1" x14ac:dyDescent="0.2">
      <c r="B1089" s="448"/>
      <c r="C1089" s="76" t="s">
        <v>1184</v>
      </c>
      <c r="D1089" s="260" t="s">
        <v>39</v>
      </c>
      <c r="E1089" s="76" t="s">
        <v>37</v>
      </c>
      <c r="F1089" s="76">
        <v>0.19</v>
      </c>
      <c r="G1089" s="76">
        <f>TRUNC(21.86,2)</f>
        <v>21.86</v>
      </c>
      <c r="H1089" s="76">
        <f t="shared" si="56"/>
        <v>4.1500000000000004</v>
      </c>
    </row>
    <row r="1090" spans="2:8" ht="12" customHeight="1" x14ac:dyDescent="0.2">
      <c r="B1090" s="448"/>
      <c r="C1090" s="76" t="s">
        <v>1185</v>
      </c>
      <c r="D1090" s="260" t="s">
        <v>499</v>
      </c>
      <c r="E1090" s="76" t="s">
        <v>37</v>
      </c>
      <c r="F1090" s="76">
        <v>0.39</v>
      </c>
      <c r="G1090" s="76">
        <f>TRUNC(29.46,2)</f>
        <v>29.46</v>
      </c>
      <c r="H1090" s="76">
        <f t="shared" si="56"/>
        <v>11.48</v>
      </c>
    </row>
    <row r="1091" spans="2:8" ht="12" customHeight="1" x14ac:dyDescent="0.2">
      <c r="B1091" s="448"/>
      <c r="C1091" s="76"/>
      <c r="D1091" s="260"/>
      <c r="E1091" s="76"/>
      <c r="F1091" s="76" t="s">
        <v>38</v>
      </c>
      <c r="G1091" s="76"/>
      <c r="H1091" s="76">
        <f>TRUNC(SUM(H1086:H1090),2)</f>
        <v>81.180000000000007</v>
      </c>
    </row>
    <row r="1092" spans="2:8" ht="48" x14ac:dyDescent="0.2">
      <c r="B1092" s="448" t="s">
        <v>1158</v>
      </c>
      <c r="C1092" s="76" t="s">
        <v>911</v>
      </c>
      <c r="D1092" s="260" t="s">
        <v>1405</v>
      </c>
      <c r="E1092" s="76" t="s">
        <v>16</v>
      </c>
      <c r="F1092" s="76">
        <v>1</v>
      </c>
      <c r="G1092" s="76">
        <f>TRUNC(H1096,2)</f>
        <v>18.7</v>
      </c>
      <c r="H1092" s="76">
        <f>TRUNC(F1092*G1092,2)</f>
        <v>18.7</v>
      </c>
    </row>
    <row r="1093" spans="2:8" ht="24" x14ac:dyDescent="0.2">
      <c r="B1093" s="448"/>
      <c r="C1093" s="76" t="s">
        <v>35</v>
      </c>
      <c r="D1093" s="260" t="s">
        <v>36</v>
      </c>
      <c r="E1093" s="76" t="s">
        <v>37</v>
      </c>
      <c r="F1093" s="76">
        <v>0.41200000000000003</v>
      </c>
      <c r="G1093" s="76">
        <f>TRUNC(15.09,2)</f>
        <v>15.09</v>
      </c>
      <c r="H1093" s="76">
        <f>TRUNC(F1093*G1093,2)</f>
        <v>6.21</v>
      </c>
    </row>
    <row r="1094" spans="2:8" ht="24" x14ac:dyDescent="0.2">
      <c r="B1094" s="448"/>
      <c r="C1094" s="76" t="s">
        <v>376</v>
      </c>
      <c r="D1094" s="260" t="s">
        <v>377</v>
      </c>
      <c r="E1094" s="76" t="s">
        <v>37</v>
      </c>
      <c r="F1094" s="76">
        <v>0.41200000000000003</v>
      </c>
      <c r="G1094" s="76">
        <f>TRUNC(20.83,2)</f>
        <v>20.83</v>
      </c>
      <c r="H1094" s="76">
        <f>TRUNC(F1094*G1094,2)</f>
        <v>8.58</v>
      </c>
    </row>
    <row r="1095" spans="2:8" ht="24" x14ac:dyDescent="0.2">
      <c r="B1095" s="448"/>
      <c r="C1095" s="76" t="s">
        <v>826</v>
      </c>
      <c r="D1095" s="260" t="s">
        <v>827</v>
      </c>
      <c r="E1095" s="76" t="s">
        <v>19</v>
      </c>
      <c r="F1095" s="76">
        <v>1.4999999999999999E-2</v>
      </c>
      <c r="G1095" s="76">
        <f>TRUNC(261.1585,2)</f>
        <v>261.14999999999998</v>
      </c>
      <c r="H1095" s="76">
        <f>TRUNC(F1095*G1095,2)</f>
        <v>3.91</v>
      </c>
    </row>
    <row r="1096" spans="2:8" x14ac:dyDescent="0.2">
      <c r="B1096" s="448"/>
      <c r="C1096" s="76"/>
      <c r="D1096" s="260"/>
      <c r="E1096" s="76"/>
      <c r="F1096" s="76" t="s">
        <v>38</v>
      </c>
      <c r="G1096" s="76"/>
      <c r="H1096" s="76">
        <f>TRUNC(SUM(H1093:H1095),2)</f>
        <v>18.7</v>
      </c>
    </row>
    <row r="1097" spans="2:8" x14ac:dyDescent="0.2">
      <c r="B1097" s="448">
        <v>16</v>
      </c>
      <c r="C1097" s="262"/>
      <c r="D1097" s="264" t="s">
        <v>515</v>
      </c>
      <c r="E1097" s="262"/>
      <c r="F1097" s="263"/>
      <c r="G1097" s="263"/>
      <c r="H1097" s="263"/>
    </row>
    <row r="1098" spans="2:8" ht="48" x14ac:dyDescent="0.2">
      <c r="B1098" s="448" t="s">
        <v>1159</v>
      </c>
      <c r="C1098" s="262" t="s">
        <v>806</v>
      </c>
      <c r="D1098" s="260" t="s">
        <v>1393</v>
      </c>
      <c r="E1098" s="262" t="s">
        <v>16</v>
      </c>
      <c r="F1098" s="263">
        <v>1</v>
      </c>
      <c r="G1098" s="263">
        <f>TRUNC(H1102,2)</f>
        <v>19.37</v>
      </c>
      <c r="H1098" s="263">
        <f>TRUNC(F1098*G1098,2)</f>
        <v>19.37</v>
      </c>
    </row>
    <row r="1099" spans="2:8" ht="24" x14ac:dyDescent="0.2">
      <c r="B1099" s="448"/>
      <c r="C1099" s="262" t="s">
        <v>35</v>
      </c>
      <c r="D1099" s="260" t="s">
        <v>36</v>
      </c>
      <c r="E1099" s="262" t="s">
        <v>37</v>
      </c>
      <c r="F1099" s="263">
        <v>0.41200000000000003</v>
      </c>
      <c r="G1099" s="263">
        <f>TRUNC(15.09,2)</f>
        <v>15.09</v>
      </c>
      <c r="H1099" s="263">
        <f>TRUNC(F1099*G1099,2)</f>
        <v>6.21</v>
      </c>
    </row>
    <row r="1100" spans="2:8" ht="24" x14ac:dyDescent="0.2">
      <c r="B1100" s="448"/>
      <c r="C1100" s="262" t="s">
        <v>376</v>
      </c>
      <c r="D1100" s="260" t="s">
        <v>377</v>
      </c>
      <c r="E1100" s="262" t="s">
        <v>37</v>
      </c>
      <c r="F1100" s="263">
        <v>0.41200000000000003</v>
      </c>
      <c r="G1100" s="263">
        <f>TRUNC(20.83,2)</f>
        <v>20.83</v>
      </c>
      <c r="H1100" s="263">
        <f>TRUNC(F1100*G1100,2)</f>
        <v>8.58</v>
      </c>
    </row>
    <row r="1101" spans="2:8" ht="24" x14ac:dyDescent="0.2">
      <c r="B1101" s="448"/>
      <c r="C1101" s="262" t="s">
        <v>615</v>
      </c>
      <c r="D1101" s="260" t="s">
        <v>616</v>
      </c>
      <c r="E1101" s="262" t="s">
        <v>19</v>
      </c>
      <c r="F1101" s="263">
        <v>1.575E-2</v>
      </c>
      <c r="G1101" s="263">
        <f>TRUNC(291.3115,2)</f>
        <v>291.31</v>
      </c>
      <c r="H1101" s="263">
        <f>TRUNC(F1101*G1101,2)</f>
        <v>4.58</v>
      </c>
    </row>
    <row r="1102" spans="2:8" x14ac:dyDescent="0.2">
      <c r="B1102" s="448"/>
      <c r="C1102" s="262"/>
      <c r="D1102" s="260"/>
      <c r="E1102" s="262"/>
      <c r="F1102" s="263" t="s">
        <v>38</v>
      </c>
      <c r="G1102" s="263"/>
      <c r="H1102" s="263">
        <f>TRUNC(SUM(H1099:H1101),2)</f>
        <v>19.37</v>
      </c>
    </row>
    <row r="1103" spans="2:8" ht="95.25" customHeight="1" x14ac:dyDescent="0.2">
      <c r="B1103" s="448" t="s">
        <v>1160</v>
      </c>
      <c r="C1103" s="62" t="s">
        <v>835</v>
      </c>
      <c r="D1103" s="260" t="s">
        <v>836</v>
      </c>
      <c r="E1103" s="262" t="s">
        <v>18</v>
      </c>
      <c r="F1103" s="263">
        <v>1</v>
      </c>
      <c r="G1103" s="263">
        <f>TRUNC(H1110,2)</f>
        <v>19.11</v>
      </c>
      <c r="H1103" s="263">
        <f t="shared" ref="H1103:H1109" si="57">TRUNC(F1103*G1103,2)</f>
        <v>19.11</v>
      </c>
    </row>
    <row r="1104" spans="2:8" ht="24" x14ac:dyDescent="0.2">
      <c r="B1104" s="448"/>
      <c r="C1104" s="62" t="s">
        <v>114</v>
      </c>
      <c r="D1104" s="260" t="s">
        <v>115</v>
      </c>
      <c r="E1104" s="262" t="s">
        <v>23</v>
      </c>
      <c r="F1104" s="263">
        <v>1.5</v>
      </c>
      <c r="G1104" s="263">
        <f>TRUNC(0.52,2)</f>
        <v>0.52</v>
      </c>
      <c r="H1104" s="263">
        <f t="shared" si="57"/>
        <v>0.78</v>
      </c>
    </row>
    <row r="1105" spans="2:8" x14ac:dyDescent="0.2">
      <c r="B1105" s="448"/>
      <c r="C1105" s="62" t="s">
        <v>111</v>
      </c>
      <c r="D1105" s="260" t="s">
        <v>814</v>
      </c>
      <c r="E1105" s="262" t="s">
        <v>23</v>
      </c>
      <c r="F1105" s="263">
        <v>1.5</v>
      </c>
      <c r="G1105" s="263">
        <f>TRUNC(0.337,2)</f>
        <v>0.33</v>
      </c>
      <c r="H1105" s="263">
        <f t="shared" si="57"/>
        <v>0.49</v>
      </c>
    </row>
    <row r="1106" spans="2:8" ht="24" x14ac:dyDescent="0.2">
      <c r="B1106" s="448"/>
      <c r="C1106" s="62" t="s">
        <v>59</v>
      </c>
      <c r="D1106" s="260" t="s">
        <v>60</v>
      </c>
      <c r="E1106" s="262" t="s">
        <v>37</v>
      </c>
      <c r="F1106" s="263">
        <v>0.41200000000000003</v>
      </c>
      <c r="G1106" s="263">
        <f>TRUNC(13.08,2)</f>
        <v>13.08</v>
      </c>
      <c r="H1106" s="263">
        <f t="shared" si="57"/>
        <v>5.38</v>
      </c>
    </row>
    <row r="1107" spans="2:8" ht="36" x14ac:dyDescent="0.2">
      <c r="B1107" s="448"/>
      <c r="C1107" s="62" t="s">
        <v>1458</v>
      </c>
      <c r="D1107" s="260" t="s">
        <v>1459</v>
      </c>
      <c r="E1107" s="262" t="s">
        <v>37</v>
      </c>
      <c r="F1107" s="263">
        <v>0.6695000000000001</v>
      </c>
      <c r="G1107" s="263">
        <f>TRUNC(18.05,2)</f>
        <v>18.05</v>
      </c>
      <c r="H1107" s="263">
        <f t="shared" si="57"/>
        <v>12.08</v>
      </c>
    </row>
    <row r="1108" spans="2:8" ht="24" x14ac:dyDescent="0.2">
      <c r="B1108" s="448"/>
      <c r="C1108" s="62" t="s">
        <v>817</v>
      </c>
      <c r="D1108" s="260" t="s">
        <v>818</v>
      </c>
      <c r="E1108" s="262" t="s">
        <v>22</v>
      </c>
      <c r="F1108" s="263">
        <v>0.01</v>
      </c>
      <c r="G1108" s="263">
        <f>TRUNC(17.52,2)</f>
        <v>17.52</v>
      </c>
      <c r="H1108" s="263">
        <f t="shared" si="57"/>
        <v>0.17</v>
      </c>
    </row>
    <row r="1109" spans="2:8" ht="24" x14ac:dyDescent="0.2">
      <c r="B1109" s="448"/>
      <c r="C1109" s="62" t="s">
        <v>819</v>
      </c>
      <c r="D1109" s="260" t="s">
        <v>820</v>
      </c>
      <c r="E1109" s="262" t="s">
        <v>22</v>
      </c>
      <c r="F1109" s="263">
        <v>1.2E-2</v>
      </c>
      <c r="G1109" s="263">
        <f>TRUNC(17.52,2)</f>
        <v>17.52</v>
      </c>
      <c r="H1109" s="263">
        <f t="shared" si="57"/>
        <v>0.21</v>
      </c>
    </row>
    <row r="1110" spans="2:8" x14ac:dyDescent="0.2">
      <c r="B1110" s="448"/>
      <c r="C1110" s="62"/>
      <c r="D1110" s="260"/>
      <c r="E1110" s="262"/>
      <c r="F1110" s="263" t="s">
        <v>38</v>
      </c>
      <c r="G1110" s="263"/>
      <c r="H1110" s="263">
        <f>TRUNC(SUM(H1104:H1109),2)</f>
        <v>19.11</v>
      </c>
    </row>
    <row r="1111" spans="2:8" ht="24" x14ac:dyDescent="0.2">
      <c r="B1111" s="448" t="s">
        <v>1161</v>
      </c>
      <c r="C1111" s="262" t="s">
        <v>1406</v>
      </c>
      <c r="D1111" s="483" t="s">
        <v>842</v>
      </c>
      <c r="E1111" s="262" t="s">
        <v>18</v>
      </c>
      <c r="F1111" s="263">
        <v>1</v>
      </c>
      <c r="G1111" s="263">
        <f>TRUNC(H1116,2)</f>
        <v>84.6</v>
      </c>
      <c r="H1111" s="263">
        <f>TRUNC(F1111*G1111,2)</f>
        <v>84.6</v>
      </c>
    </row>
    <row r="1112" spans="2:8" x14ac:dyDescent="0.2">
      <c r="B1112" s="448"/>
      <c r="C1112" s="262" t="s">
        <v>1404</v>
      </c>
      <c r="D1112" s="483" t="s">
        <v>834</v>
      </c>
      <c r="E1112" s="262" t="s">
        <v>23</v>
      </c>
      <c r="F1112" s="263">
        <v>1.29</v>
      </c>
      <c r="G1112" s="263">
        <f>TRUNC(1.52,2)</f>
        <v>1.52</v>
      </c>
      <c r="H1112" s="263">
        <f>TRUNC(F1112*G1112,2)</f>
        <v>1.96</v>
      </c>
    </row>
    <row r="1113" spans="2:8" ht="36" x14ac:dyDescent="0.2">
      <c r="B1113" s="448"/>
      <c r="C1113" s="262" t="s">
        <v>1407</v>
      </c>
      <c r="D1113" s="483" t="s">
        <v>843</v>
      </c>
      <c r="E1113" s="262" t="s">
        <v>18</v>
      </c>
      <c r="F1113" s="263">
        <v>1</v>
      </c>
      <c r="G1113" s="263">
        <f>TRUNC(63.2,2)</f>
        <v>63.2</v>
      </c>
      <c r="H1113" s="263">
        <f>TRUNC(F1113*G1113,2)</f>
        <v>63.2</v>
      </c>
    </row>
    <row r="1114" spans="2:8" x14ac:dyDescent="0.2">
      <c r="B1114" s="448"/>
      <c r="C1114" s="262" t="s">
        <v>1184</v>
      </c>
      <c r="D1114" s="483" t="s">
        <v>39</v>
      </c>
      <c r="E1114" s="262" t="s">
        <v>37</v>
      </c>
      <c r="F1114" s="263">
        <v>0.27300000000000002</v>
      </c>
      <c r="G1114" s="263">
        <f>TRUNC(21.86,2)</f>
        <v>21.86</v>
      </c>
      <c r="H1114" s="263">
        <f>TRUNC(F1114*G1114,2)</f>
        <v>5.96</v>
      </c>
    </row>
    <row r="1115" spans="2:8" ht="24" x14ac:dyDescent="0.2">
      <c r="B1115" s="448"/>
      <c r="C1115" s="262" t="s">
        <v>1339</v>
      </c>
      <c r="D1115" s="483" t="s">
        <v>634</v>
      </c>
      <c r="E1115" s="262" t="s">
        <v>37</v>
      </c>
      <c r="F1115" s="263">
        <v>0.54700000000000004</v>
      </c>
      <c r="G1115" s="263">
        <f>TRUNC(24.65,2)</f>
        <v>24.65</v>
      </c>
      <c r="H1115" s="263">
        <f>TRUNC(F1115*G1115,2)</f>
        <v>13.48</v>
      </c>
    </row>
    <row r="1116" spans="2:8" x14ac:dyDescent="0.2">
      <c r="B1116" s="448"/>
      <c r="C1116" s="262"/>
      <c r="D1116" s="483"/>
      <c r="E1116" s="262"/>
      <c r="F1116" s="263" t="s">
        <v>38</v>
      </c>
      <c r="G1116" s="263"/>
      <c r="H1116" s="263">
        <f>TRUNC(SUM(H1112:H1115),2)</f>
        <v>84.6</v>
      </c>
    </row>
    <row r="1117" spans="2:8" ht="72" x14ac:dyDescent="0.2">
      <c r="B1117" s="448" t="s">
        <v>1162</v>
      </c>
      <c r="C1117" s="262" t="s">
        <v>844</v>
      </c>
      <c r="D1117" s="483" t="s">
        <v>1408</v>
      </c>
      <c r="E1117" s="262" t="s">
        <v>18</v>
      </c>
      <c r="F1117" s="263">
        <v>1</v>
      </c>
      <c r="G1117" s="263">
        <f>TRUNC(H1124,2)</f>
        <v>41.53</v>
      </c>
      <c r="H1117" s="263">
        <f t="shared" ref="H1117:H1123" si="58">TRUNC(F1117*G1117,2)</f>
        <v>41.53</v>
      </c>
    </row>
    <row r="1118" spans="2:8" x14ac:dyDescent="0.2">
      <c r="B1118" s="448"/>
      <c r="C1118" s="262" t="s">
        <v>845</v>
      </c>
      <c r="D1118" s="483" t="s">
        <v>846</v>
      </c>
      <c r="E1118" s="262" t="s">
        <v>18</v>
      </c>
      <c r="F1118" s="263">
        <v>1.05</v>
      </c>
      <c r="G1118" s="263">
        <f>TRUNC(19.5,2)</f>
        <v>19.5</v>
      </c>
      <c r="H1118" s="263">
        <f t="shared" si="58"/>
        <v>20.47</v>
      </c>
    </row>
    <row r="1119" spans="2:8" x14ac:dyDescent="0.2">
      <c r="B1119" s="448"/>
      <c r="C1119" s="262" t="s">
        <v>54</v>
      </c>
      <c r="D1119" s="483" t="s">
        <v>55</v>
      </c>
      <c r="E1119" s="262" t="s">
        <v>23</v>
      </c>
      <c r="F1119" s="263">
        <v>0.4</v>
      </c>
      <c r="G1119" s="263">
        <f>TRUNC(1.44,2)</f>
        <v>1.44</v>
      </c>
      <c r="H1119" s="263">
        <f t="shared" si="58"/>
        <v>0.56999999999999995</v>
      </c>
    </row>
    <row r="1120" spans="2:8" ht="24" x14ac:dyDescent="0.2">
      <c r="B1120" s="448"/>
      <c r="C1120" s="262" t="s">
        <v>35</v>
      </c>
      <c r="D1120" s="483" t="s">
        <v>36</v>
      </c>
      <c r="E1120" s="262" t="s">
        <v>37</v>
      </c>
      <c r="F1120" s="263">
        <v>0.56650000000000011</v>
      </c>
      <c r="G1120" s="263">
        <f>TRUNC(15.09,2)</f>
        <v>15.09</v>
      </c>
      <c r="H1120" s="263">
        <f t="shared" si="58"/>
        <v>8.5399999999999991</v>
      </c>
    </row>
    <row r="1121" spans="2:8" ht="24" x14ac:dyDescent="0.2">
      <c r="B1121" s="448"/>
      <c r="C1121" s="262" t="s">
        <v>847</v>
      </c>
      <c r="D1121" s="483" t="s">
        <v>848</v>
      </c>
      <c r="E1121" s="262" t="s">
        <v>37</v>
      </c>
      <c r="F1121" s="263">
        <v>0.46350000000000002</v>
      </c>
      <c r="G1121" s="263">
        <f>TRUNC(20.83,2)</f>
        <v>20.83</v>
      </c>
      <c r="H1121" s="263">
        <f t="shared" si="58"/>
        <v>9.65</v>
      </c>
    </row>
    <row r="1122" spans="2:8" ht="24" x14ac:dyDescent="0.2">
      <c r="B1122" s="448"/>
      <c r="C1122" s="262" t="s">
        <v>849</v>
      </c>
      <c r="D1122" s="483" t="s">
        <v>850</v>
      </c>
      <c r="E1122" s="262" t="s">
        <v>19</v>
      </c>
      <c r="F1122" s="263">
        <v>6.0000000000000001E-3</v>
      </c>
      <c r="G1122" s="263">
        <f>TRUNC(337.0372,2)</f>
        <v>337.03</v>
      </c>
      <c r="H1122" s="263">
        <f t="shared" si="58"/>
        <v>2.02</v>
      </c>
    </row>
    <row r="1123" spans="2:8" x14ac:dyDescent="0.2">
      <c r="B1123" s="448"/>
      <c r="C1123" s="262" t="s">
        <v>851</v>
      </c>
      <c r="D1123" s="483" t="s">
        <v>852</v>
      </c>
      <c r="E1123" s="262" t="s">
        <v>19</v>
      </c>
      <c r="F1123" s="263">
        <v>5.0000000000000001E-4</v>
      </c>
      <c r="G1123" s="263">
        <f>TRUNC(561.1343,2)</f>
        <v>561.13</v>
      </c>
      <c r="H1123" s="263">
        <f t="shared" si="58"/>
        <v>0.28000000000000003</v>
      </c>
    </row>
    <row r="1124" spans="2:8" x14ac:dyDescent="0.2">
      <c r="B1124" s="448"/>
      <c r="C1124" s="262"/>
      <c r="D1124" s="483"/>
      <c r="E1124" s="262"/>
      <c r="F1124" s="263" t="s">
        <v>38</v>
      </c>
      <c r="G1124" s="263"/>
      <c r="H1124" s="263">
        <f>TRUNC(SUM(H1118:H1123),2)</f>
        <v>41.53</v>
      </c>
    </row>
    <row r="1125" spans="2:8" ht="72" x14ac:dyDescent="0.2">
      <c r="B1125" s="448" t="s">
        <v>1163</v>
      </c>
      <c r="C1125" s="260" t="s">
        <v>844</v>
      </c>
      <c r="D1125" s="260" t="s">
        <v>1408</v>
      </c>
      <c r="E1125" s="262" t="s">
        <v>18</v>
      </c>
      <c r="F1125" s="263">
        <v>1</v>
      </c>
      <c r="G1125" s="263">
        <f>TRUNC(H1133,2)</f>
        <v>41.53</v>
      </c>
      <c r="H1125" s="263">
        <f>TRUNC(F1125*G1125,2)</f>
        <v>41.53</v>
      </c>
    </row>
    <row r="1126" spans="2:8" x14ac:dyDescent="0.2">
      <c r="B1126" s="448"/>
      <c r="C1126" s="260" t="s">
        <v>845</v>
      </c>
      <c r="D1126" s="260" t="s">
        <v>846</v>
      </c>
      <c r="E1126" s="262" t="s">
        <v>18</v>
      </c>
      <c r="F1126" s="263">
        <v>0</v>
      </c>
      <c r="G1126" s="263">
        <f>TRUNC(19.5,2)</f>
        <v>19.5</v>
      </c>
      <c r="H1126" s="263">
        <f>TRUNC(F1126*G1126,2)</f>
        <v>0</v>
      </c>
    </row>
    <row r="1127" spans="2:8" x14ac:dyDescent="0.2">
      <c r="B1127" s="448"/>
      <c r="C1127" s="260" t="s">
        <v>845</v>
      </c>
      <c r="D1127" s="260" t="s">
        <v>1463</v>
      </c>
      <c r="E1127" s="262" t="s">
        <v>18</v>
      </c>
      <c r="F1127" s="263">
        <v>1.05</v>
      </c>
      <c r="G1127" s="263">
        <f>TRUNC(19.5,2)</f>
        <v>19.5</v>
      </c>
      <c r="H1127" s="263">
        <f t="shared" ref="H1127" si="59">TRUNC(F1127*G1127,2)</f>
        <v>20.47</v>
      </c>
    </row>
    <row r="1128" spans="2:8" x14ac:dyDescent="0.2">
      <c r="B1128" s="448"/>
      <c r="C1128" s="260" t="s">
        <v>54</v>
      </c>
      <c r="D1128" s="260" t="s">
        <v>55</v>
      </c>
      <c r="E1128" s="262" t="s">
        <v>23</v>
      </c>
      <c r="F1128" s="263">
        <v>0.4</v>
      </c>
      <c r="G1128" s="263">
        <f>TRUNC(1.44,2)</f>
        <v>1.44</v>
      </c>
      <c r="H1128" s="263">
        <f>TRUNC(F1128*G1128,2)</f>
        <v>0.56999999999999995</v>
      </c>
    </row>
    <row r="1129" spans="2:8" ht="24" x14ac:dyDescent="0.2">
      <c r="B1129" s="448"/>
      <c r="C1129" s="260" t="s">
        <v>35</v>
      </c>
      <c r="D1129" s="260" t="s">
        <v>36</v>
      </c>
      <c r="E1129" s="262" t="s">
        <v>37</v>
      </c>
      <c r="F1129" s="263">
        <v>0.56650000000000011</v>
      </c>
      <c r="G1129" s="263">
        <f>TRUNC(15.09,2)</f>
        <v>15.09</v>
      </c>
      <c r="H1129" s="263">
        <f>TRUNC(F1129*G1129,2)</f>
        <v>8.5399999999999991</v>
      </c>
    </row>
    <row r="1130" spans="2:8" ht="24" x14ac:dyDescent="0.2">
      <c r="B1130" s="448"/>
      <c r="C1130" s="260" t="s">
        <v>847</v>
      </c>
      <c r="D1130" s="260" t="s">
        <v>848</v>
      </c>
      <c r="E1130" s="262" t="s">
        <v>37</v>
      </c>
      <c r="F1130" s="263">
        <v>0.46350000000000002</v>
      </c>
      <c r="G1130" s="263">
        <f>TRUNC(20.83,2)</f>
        <v>20.83</v>
      </c>
      <c r="H1130" s="263">
        <f>TRUNC(F1130*G1130,2)</f>
        <v>9.65</v>
      </c>
    </row>
    <row r="1131" spans="2:8" ht="24" x14ac:dyDescent="0.2">
      <c r="B1131" s="448"/>
      <c r="C1131" s="260" t="s">
        <v>849</v>
      </c>
      <c r="D1131" s="260" t="s">
        <v>850</v>
      </c>
      <c r="E1131" s="262" t="s">
        <v>19</v>
      </c>
      <c r="F1131" s="263">
        <v>6.0000000000000001E-3</v>
      </c>
      <c r="G1131" s="263">
        <f>TRUNC(337.0372,2)</f>
        <v>337.03</v>
      </c>
      <c r="H1131" s="263">
        <f>TRUNC(F1131*G1131,2)</f>
        <v>2.02</v>
      </c>
    </row>
    <row r="1132" spans="2:8" x14ac:dyDescent="0.2">
      <c r="B1132" s="448"/>
      <c r="C1132" s="260" t="s">
        <v>851</v>
      </c>
      <c r="D1132" s="260" t="s">
        <v>852</v>
      </c>
      <c r="E1132" s="262" t="s">
        <v>19</v>
      </c>
      <c r="F1132" s="263">
        <v>5.0000000000000001E-4</v>
      </c>
      <c r="G1132" s="263">
        <f>TRUNC(561.1343,2)</f>
        <v>561.13</v>
      </c>
      <c r="H1132" s="263">
        <f>TRUNC(F1132*G1132,2)</f>
        <v>0.28000000000000003</v>
      </c>
    </row>
    <row r="1133" spans="2:8" x14ac:dyDescent="0.2">
      <c r="B1133" s="448"/>
      <c r="C1133" s="260"/>
      <c r="D1133" s="260"/>
      <c r="E1133" s="262"/>
      <c r="F1133" s="263" t="s">
        <v>38</v>
      </c>
      <c r="G1133" s="263"/>
      <c r="H1133" s="263">
        <f>TRUNC(SUM(H1126:H1132),2)</f>
        <v>41.53</v>
      </c>
    </row>
    <row r="1134" spans="2:8" x14ac:dyDescent="0.2">
      <c r="B1134" s="448">
        <v>17</v>
      </c>
      <c r="C1134" s="262"/>
      <c r="D1134" s="264" t="s">
        <v>24</v>
      </c>
      <c r="E1134" s="262"/>
      <c r="F1134" s="263"/>
      <c r="G1134" s="263"/>
      <c r="H1134" s="263"/>
    </row>
    <row r="1135" spans="2:8" x14ac:dyDescent="0.2">
      <c r="B1135" s="448"/>
      <c r="C1135" s="262"/>
      <c r="D1135" s="460" t="s">
        <v>856</v>
      </c>
      <c r="E1135" s="262"/>
      <c r="F1135" s="263"/>
      <c r="G1135" s="263"/>
      <c r="H1135" s="263"/>
    </row>
    <row r="1136" spans="2:8" ht="36" x14ac:dyDescent="0.2">
      <c r="B1136" s="461" t="s">
        <v>1177</v>
      </c>
      <c r="C1136" s="483" t="s">
        <v>857</v>
      </c>
      <c r="D1136" s="483" t="s">
        <v>858</v>
      </c>
      <c r="E1136" s="262" t="s">
        <v>16</v>
      </c>
      <c r="F1136" s="263">
        <v>1</v>
      </c>
      <c r="G1136" s="263">
        <f>TRUNC(H1139,2)</f>
        <v>19.37</v>
      </c>
      <c r="H1136" s="263">
        <f>TRUNC(F1136*G1136,2)</f>
        <v>19.37</v>
      </c>
    </row>
    <row r="1137" spans="2:8" ht="24" x14ac:dyDescent="0.2">
      <c r="B1137" s="461"/>
      <c r="C1137" s="483" t="s">
        <v>35</v>
      </c>
      <c r="D1137" s="483" t="s">
        <v>36</v>
      </c>
      <c r="E1137" s="262" t="s">
        <v>37</v>
      </c>
      <c r="F1137" s="263">
        <v>0.36049999999999999</v>
      </c>
      <c r="G1137" s="263">
        <f>TRUNC(15.09,2)</f>
        <v>15.09</v>
      </c>
      <c r="H1137" s="263">
        <f>TRUNC(F1137*G1137,2)</f>
        <v>5.43</v>
      </c>
    </row>
    <row r="1138" spans="2:8" ht="24" x14ac:dyDescent="0.2">
      <c r="B1138" s="461"/>
      <c r="C1138" s="483" t="s">
        <v>465</v>
      </c>
      <c r="D1138" s="483" t="s">
        <v>466</v>
      </c>
      <c r="E1138" s="262" t="s">
        <v>37</v>
      </c>
      <c r="F1138" s="263">
        <v>0.6695000000000001</v>
      </c>
      <c r="G1138" s="263">
        <f>TRUNC(20.83,2)</f>
        <v>20.83</v>
      </c>
      <c r="H1138" s="263">
        <f>TRUNC(F1138*G1138,2)</f>
        <v>13.94</v>
      </c>
    </row>
    <row r="1139" spans="2:8" x14ac:dyDescent="0.2">
      <c r="B1139" s="461"/>
      <c r="C1139" s="483"/>
      <c r="D1139" s="483"/>
      <c r="E1139" s="262"/>
      <c r="F1139" s="263" t="s">
        <v>38</v>
      </c>
      <c r="G1139" s="263"/>
      <c r="H1139" s="263">
        <f>TRUNC(SUM(H1137:H1138),2)</f>
        <v>19.37</v>
      </c>
    </row>
    <row r="1140" spans="2:8" ht="24" x14ac:dyDescent="0.2">
      <c r="B1140" s="448" t="s">
        <v>1165</v>
      </c>
      <c r="C1140" s="262" t="s">
        <v>1409</v>
      </c>
      <c r="D1140" s="483" t="s">
        <v>860</v>
      </c>
      <c r="E1140" s="262" t="s">
        <v>16</v>
      </c>
      <c r="F1140" s="263">
        <v>1</v>
      </c>
      <c r="G1140" s="263">
        <f>TRUNC(H1144,2)</f>
        <v>3.57</v>
      </c>
      <c r="H1140" s="263">
        <f>TRUNC(F1140*G1140,2)</f>
        <v>3.57</v>
      </c>
    </row>
    <row r="1141" spans="2:8" x14ac:dyDescent="0.2">
      <c r="B1141" s="448"/>
      <c r="C1141" s="262" t="s">
        <v>1410</v>
      </c>
      <c r="D1141" s="262" t="s">
        <v>861</v>
      </c>
      <c r="E1141" s="262" t="s">
        <v>42</v>
      </c>
      <c r="F1141" s="263">
        <v>0.16</v>
      </c>
      <c r="G1141" s="263">
        <f>TRUNC(14.15,2)</f>
        <v>14.15</v>
      </c>
      <c r="H1141" s="263">
        <f>TRUNC(F1141*G1141,2)</f>
        <v>2.2599999999999998</v>
      </c>
    </row>
    <row r="1142" spans="2:8" x14ac:dyDescent="0.2">
      <c r="B1142" s="448"/>
      <c r="C1142" s="262" t="s">
        <v>1184</v>
      </c>
      <c r="D1142" s="262" t="s">
        <v>39</v>
      </c>
      <c r="E1142" s="262" t="s">
        <v>37</v>
      </c>
      <c r="F1142" s="263">
        <v>1.2999999999999999E-2</v>
      </c>
      <c r="G1142" s="263">
        <f>TRUNC(21.86,2)</f>
        <v>21.86</v>
      </c>
      <c r="H1142" s="263">
        <f>TRUNC(F1142*G1142,2)</f>
        <v>0.28000000000000003</v>
      </c>
    </row>
    <row r="1143" spans="2:8" x14ac:dyDescent="0.2">
      <c r="B1143" s="448"/>
      <c r="C1143" s="262" t="s">
        <v>1411</v>
      </c>
      <c r="D1143" s="262" t="s">
        <v>56</v>
      </c>
      <c r="E1143" s="262" t="s">
        <v>37</v>
      </c>
      <c r="F1143" s="263">
        <v>3.5999999999999997E-2</v>
      </c>
      <c r="G1143" s="263">
        <f>TRUNC(28.75,2)</f>
        <v>28.75</v>
      </c>
      <c r="H1143" s="263">
        <f>TRUNC(F1143*G1143,2)</f>
        <v>1.03</v>
      </c>
    </row>
    <row r="1144" spans="2:8" x14ac:dyDescent="0.2">
      <c r="B1144" s="448"/>
      <c r="C1144" s="262"/>
      <c r="D1144" s="262"/>
      <c r="E1144" s="262"/>
      <c r="F1144" s="263" t="s">
        <v>38</v>
      </c>
      <c r="G1144" s="263"/>
      <c r="H1144" s="263">
        <f>TRUNC(SUM(H1141:H1143),2)</f>
        <v>3.57</v>
      </c>
    </row>
    <row r="1145" spans="2:8" ht="24" x14ac:dyDescent="0.2">
      <c r="B1145" s="448" t="s">
        <v>1166</v>
      </c>
      <c r="C1145" s="262" t="s">
        <v>1412</v>
      </c>
      <c r="D1145" s="483" t="s">
        <v>864</v>
      </c>
      <c r="E1145" s="262" t="s">
        <v>16</v>
      </c>
      <c r="F1145" s="263">
        <v>1</v>
      </c>
      <c r="G1145" s="263">
        <f>TRUNC(H1150,2)</f>
        <v>21.09</v>
      </c>
      <c r="H1145" s="263">
        <f>TRUNC(F1145*G1145,2)</f>
        <v>21.09</v>
      </c>
    </row>
    <row r="1146" spans="2:8" x14ac:dyDescent="0.2">
      <c r="B1146" s="448"/>
      <c r="C1146" s="262" t="s">
        <v>1413</v>
      </c>
      <c r="D1146" s="483" t="s">
        <v>865</v>
      </c>
      <c r="E1146" s="262" t="s">
        <v>866</v>
      </c>
      <c r="F1146" s="263">
        <v>3.2800000000000003E-2</v>
      </c>
      <c r="G1146" s="263">
        <f>TRUNC(76.9,2)</f>
        <v>76.900000000000006</v>
      </c>
      <c r="H1146" s="263">
        <f>TRUNC(F1146*G1146,2)</f>
        <v>2.52</v>
      </c>
    </row>
    <row r="1147" spans="2:8" ht="24" x14ac:dyDescent="0.2">
      <c r="B1147" s="448"/>
      <c r="C1147" s="262" t="s">
        <v>1414</v>
      </c>
      <c r="D1147" s="483" t="s">
        <v>118</v>
      </c>
      <c r="E1147" s="262" t="s">
        <v>22</v>
      </c>
      <c r="F1147" s="263">
        <v>0.06</v>
      </c>
      <c r="G1147" s="263">
        <f>TRUNC(0.67,2)</f>
        <v>0.67</v>
      </c>
      <c r="H1147" s="263">
        <f>TRUNC(F1147*G1147,2)</f>
        <v>0.04</v>
      </c>
    </row>
    <row r="1148" spans="2:8" x14ac:dyDescent="0.2">
      <c r="B1148" s="448"/>
      <c r="C1148" s="262" t="s">
        <v>1184</v>
      </c>
      <c r="D1148" s="483" t="s">
        <v>39</v>
      </c>
      <c r="E1148" s="262" t="s">
        <v>37</v>
      </c>
      <c r="F1148" s="263">
        <v>0.185</v>
      </c>
      <c r="G1148" s="263">
        <f>TRUNC(21.86,2)</f>
        <v>21.86</v>
      </c>
      <c r="H1148" s="263">
        <f>TRUNC(F1148*G1148,2)</f>
        <v>4.04</v>
      </c>
    </row>
    <row r="1149" spans="2:8" x14ac:dyDescent="0.2">
      <c r="B1149" s="448"/>
      <c r="C1149" s="262" t="s">
        <v>1411</v>
      </c>
      <c r="D1149" s="483" t="s">
        <v>56</v>
      </c>
      <c r="E1149" s="262" t="s">
        <v>37</v>
      </c>
      <c r="F1149" s="263">
        <v>0.504</v>
      </c>
      <c r="G1149" s="263">
        <f>TRUNC(28.75,2)</f>
        <v>28.75</v>
      </c>
      <c r="H1149" s="263">
        <f>TRUNC(F1149*G1149,2)</f>
        <v>14.49</v>
      </c>
    </row>
    <row r="1150" spans="2:8" x14ac:dyDescent="0.2">
      <c r="B1150" s="448"/>
      <c r="C1150" s="262"/>
      <c r="D1150" s="483"/>
      <c r="E1150" s="262"/>
      <c r="F1150" s="263" t="s">
        <v>38</v>
      </c>
      <c r="G1150" s="263"/>
      <c r="H1150" s="263">
        <f>TRUNC(SUM(H1146:H1149),2)</f>
        <v>21.09</v>
      </c>
    </row>
    <row r="1151" spans="2:8" ht="24" x14ac:dyDescent="0.2">
      <c r="B1151" s="448" t="s">
        <v>1167</v>
      </c>
      <c r="C1151" s="262" t="s">
        <v>1415</v>
      </c>
      <c r="D1151" s="483" t="s">
        <v>867</v>
      </c>
      <c r="E1151" s="262" t="s">
        <v>16</v>
      </c>
      <c r="F1151" s="263">
        <v>1</v>
      </c>
      <c r="G1151" s="263">
        <f>TRUNC(H1155,2)</f>
        <v>12</v>
      </c>
      <c r="H1151" s="263">
        <f>TRUNC(F1151*G1151,2)</f>
        <v>12</v>
      </c>
    </row>
    <row r="1152" spans="2:8" x14ac:dyDescent="0.2">
      <c r="B1152" s="448"/>
      <c r="C1152" s="262" t="s">
        <v>1416</v>
      </c>
      <c r="D1152" s="483" t="s">
        <v>868</v>
      </c>
      <c r="E1152" s="262" t="s">
        <v>42</v>
      </c>
      <c r="F1152" s="263">
        <v>0.33</v>
      </c>
      <c r="G1152" s="263">
        <f>TRUNC(17.49,2)</f>
        <v>17.489999999999998</v>
      </c>
      <c r="H1152" s="263">
        <f>TRUNC(F1152*G1152,2)</f>
        <v>5.77</v>
      </c>
    </row>
    <row r="1153" spans="2:8" x14ac:dyDescent="0.2">
      <c r="B1153" s="448"/>
      <c r="C1153" s="262" t="s">
        <v>1184</v>
      </c>
      <c r="D1153" s="483" t="s">
        <v>39</v>
      </c>
      <c r="E1153" s="262" t="s">
        <v>37</v>
      </c>
      <c r="F1153" s="263">
        <v>6.2E-2</v>
      </c>
      <c r="G1153" s="263">
        <f>TRUNC(21.86,2)</f>
        <v>21.86</v>
      </c>
      <c r="H1153" s="263">
        <f>TRUNC(F1153*G1153,2)</f>
        <v>1.35</v>
      </c>
    </row>
    <row r="1154" spans="2:8" x14ac:dyDescent="0.2">
      <c r="B1154" s="448"/>
      <c r="C1154" s="262" t="s">
        <v>1411</v>
      </c>
      <c r="D1154" s="483" t="s">
        <v>56</v>
      </c>
      <c r="E1154" s="262" t="s">
        <v>37</v>
      </c>
      <c r="F1154" s="263">
        <v>0.17</v>
      </c>
      <c r="G1154" s="263">
        <f>TRUNC(28.75,2)</f>
        <v>28.75</v>
      </c>
      <c r="H1154" s="263">
        <f>TRUNC(F1154*G1154,2)</f>
        <v>4.88</v>
      </c>
    </row>
    <row r="1155" spans="2:8" x14ac:dyDescent="0.2">
      <c r="B1155" s="448"/>
      <c r="C1155" s="262"/>
      <c r="D1155" s="483"/>
      <c r="E1155" s="262"/>
      <c r="F1155" s="263" t="s">
        <v>38</v>
      </c>
      <c r="G1155" s="263"/>
      <c r="H1155" s="263">
        <f>TRUNC(SUM(H1152:H1154),2)</f>
        <v>12</v>
      </c>
    </row>
    <row r="1156" spans="2:8" x14ac:dyDescent="0.2">
      <c r="B1156" s="448"/>
      <c r="C1156" s="262"/>
      <c r="D1156" s="460" t="s">
        <v>523</v>
      </c>
      <c r="E1156" s="262"/>
      <c r="F1156" s="263"/>
      <c r="G1156" s="263"/>
      <c r="H1156" s="263"/>
    </row>
    <row r="1157" spans="2:8" ht="72" x14ac:dyDescent="0.2">
      <c r="B1157" s="448" t="s">
        <v>1169</v>
      </c>
      <c r="C1157" s="262" t="s">
        <v>869</v>
      </c>
      <c r="D1157" s="483" t="s">
        <v>870</v>
      </c>
      <c r="E1157" s="262" t="s">
        <v>16</v>
      </c>
      <c r="F1157" s="263">
        <v>1</v>
      </c>
      <c r="G1157" s="263">
        <f>TRUNC(H1164,2)</f>
        <v>36.4</v>
      </c>
      <c r="H1157" s="263">
        <f t="shared" ref="H1157:H1163" si="60">TRUNC(F1157*G1157,2)</f>
        <v>36.4</v>
      </c>
    </row>
    <row r="1158" spans="2:8" x14ac:dyDescent="0.2">
      <c r="B1158" s="448"/>
      <c r="C1158" s="262" t="s">
        <v>871</v>
      </c>
      <c r="D1158" s="483" t="s">
        <v>872</v>
      </c>
      <c r="E1158" s="262" t="s">
        <v>22</v>
      </c>
      <c r="F1158" s="263">
        <v>2</v>
      </c>
      <c r="G1158" s="263">
        <f>TRUNC(0.69,2)</f>
        <v>0.69</v>
      </c>
      <c r="H1158" s="263">
        <f t="shared" si="60"/>
        <v>1.38</v>
      </c>
    </row>
    <row r="1159" spans="2:8" ht="36" x14ac:dyDescent="0.2">
      <c r="B1159" s="448"/>
      <c r="C1159" s="262" t="s">
        <v>873</v>
      </c>
      <c r="D1159" s="483" t="s">
        <v>874</v>
      </c>
      <c r="E1159" s="262" t="s">
        <v>22</v>
      </c>
      <c r="F1159" s="263">
        <v>0.01</v>
      </c>
      <c r="G1159" s="263">
        <f>TRUNC(256.11,2)</f>
        <v>256.11</v>
      </c>
      <c r="H1159" s="263">
        <f t="shared" si="60"/>
        <v>2.56</v>
      </c>
    </row>
    <row r="1160" spans="2:8" ht="24" x14ac:dyDescent="0.2">
      <c r="B1160" s="448"/>
      <c r="C1160" s="262" t="s">
        <v>875</v>
      </c>
      <c r="D1160" s="483" t="s">
        <v>876</v>
      </c>
      <c r="E1160" s="262" t="s">
        <v>32</v>
      </c>
      <c r="F1160" s="263">
        <v>0.04</v>
      </c>
      <c r="G1160" s="263">
        <f>TRUNC(14.51,2)</f>
        <v>14.51</v>
      </c>
      <c r="H1160" s="263">
        <f t="shared" si="60"/>
        <v>0.57999999999999996</v>
      </c>
    </row>
    <row r="1161" spans="2:8" x14ac:dyDescent="0.2">
      <c r="B1161" s="448"/>
      <c r="C1161" s="262" t="s">
        <v>877</v>
      </c>
      <c r="D1161" s="483" t="s">
        <v>878</v>
      </c>
      <c r="E1161" s="262" t="s">
        <v>22</v>
      </c>
      <c r="F1161" s="263">
        <v>4.5999999999999999E-2</v>
      </c>
      <c r="G1161" s="263">
        <f>TRUNC(89.64,2)</f>
        <v>89.64</v>
      </c>
      <c r="H1161" s="263">
        <f t="shared" si="60"/>
        <v>4.12</v>
      </c>
    </row>
    <row r="1162" spans="2:8" ht="24" x14ac:dyDescent="0.2">
      <c r="B1162" s="448"/>
      <c r="C1162" s="262" t="s">
        <v>35</v>
      </c>
      <c r="D1162" s="483" t="s">
        <v>36</v>
      </c>
      <c r="E1162" s="262" t="s">
        <v>37</v>
      </c>
      <c r="F1162" s="263">
        <v>0.48924999999999996</v>
      </c>
      <c r="G1162" s="263">
        <f>TRUNC(15.09,2)</f>
        <v>15.09</v>
      </c>
      <c r="H1162" s="263">
        <f t="shared" si="60"/>
        <v>7.38</v>
      </c>
    </row>
    <row r="1163" spans="2:8" ht="24" x14ac:dyDescent="0.2">
      <c r="B1163" s="448"/>
      <c r="C1163" s="262" t="s">
        <v>465</v>
      </c>
      <c r="D1163" s="483" t="s">
        <v>466</v>
      </c>
      <c r="E1163" s="262" t="s">
        <v>37</v>
      </c>
      <c r="F1163" s="263">
        <v>0.97849999999999993</v>
      </c>
      <c r="G1163" s="263">
        <f>TRUNC(20.83,2)</f>
        <v>20.83</v>
      </c>
      <c r="H1163" s="263">
        <f t="shared" si="60"/>
        <v>20.38</v>
      </c>
    </row>
    <row r="1164" spans="2:8" x14ac:dyDescent="0.2">
      <c r="B1164" s="448"/>
      <c r="C1164" s="262"/>
      <c r="D1164" s="483"/>
      <c r="E1164" s="262"/>
      <c r="F1164" s="263" t="s">
        <v>38</v>
      </c>
      <c r="G1164" s="263"/>
      <c r="H1164" s="263">
        <f>TRUNC(SUM(H1158:H1163),2)</f>
        <v>36.4</v>
      </c>
    </row>
    <row r="1165" spans="2:8" ht="15" customHeight="1" x14ac:dyDescent="0.2">
      <c r="B1165" s="508" t="s">
        <v>207</v>
      </c>
      <c r="C1165" s="594"/>
      <c r="D1165" s="513" t="s">
        <v>25</v>
      </c>
      <c r="E1165" s="513"/>
      <c r="F1165" s="602"/>
      <c r="G1165" s="602"/>
      <c r="H1165" s="602"/>
    </row>
    <row r="1166" spans="2:8" ht="24.75" customHeight="1" x14ac:dyDescent="0.2">
      <c r="B1166" s="508" t="s">
        <v>1170</v>
      </c>
      <c r="C1166" s="594" t="s">
        <v>899</v>
      </c>
      <c r="D1166" s="486" t="s">
        <v>1417</v>
      </c>
      <c r="E1166" s="519" t="s">
        <v>16</v>
      </c>
      <c r="F1166" s="605">
        <v>1</v>
      </c>
      <c r="G1166" s="605">
        <f>TRUNC(H1168,2)</f>
        <v>7.24</v>
      </c>
      <c r="H1166" s="605">
        <f>TRUNC(F1166*G1166,2)</f>
        <v>7.24</v>
      </c>
    </row>
    <row r="1167" spans="2:8" ht="24.75" customHeight="1" x14ac:dyDescent="0.2">
      <c r="B1167" s="508"/>
      <c r="C1167" s="594" t="s">
        <v>35</v>
      </c>
      <c r="D1167" s="486" t="s">
        <v>36</v>
      </c>
      <c r="E1167" s="519" t="s">
        <v>37</v>
      </c>
      <c r="F1167" s="605">
        <v>0.48</v>
      </c>
      <c r="G1167" s="605">
        <f>TRUNC(15.09,2)</f>
        <v>15.09</v>
      </c>
      <c r="H1167" s="605">
        <f>TRUNC(F1167*G1167,2)</f>
        <v>7.24</v>
      </c>
    </row>
    <row r="1168" spans="2:8" ht="24.75" customHeight="1" x14ac:dyDescent="0.2">
      <c r="B1168" s="508"/>
      <c r="C1168" s="594"/>
      <c r="D1168" s="486"/>
      <c r="E1168" s="519"/>
      <c r="F1168" s="605" t="s">
        <v>38</v>
      </c>
      <c r="G1168" s="605"/>
      <c r="H1168" s="605">
        <f>TRUNC(SUM(H1167:H1167),2)</f>
        <v>7.24</v>
      </c>
    </row>
    <row r="1169" spans="2:8" ht="24" x14ac:dyDescent="0.2">
      <c r="B1169" s="508" t="s">
        <v>1171</v>
      </c>
      <c r="C1169" s="594" t="s">
        <v>900</v>
      </c>
      <c r="D1169" s="516" t="s">
        <v>901</v>
      </c>
      <c r="E1169" s="519" t="s">
        <v>16</v>
      </c>
      <c r="F1169" s="605">
        <v>1</v>
      </c>
      <c r="G1169" s="605">
        <f>TRUNC(H1171,2)</f>
        <v>6.33</v>
      </c>
      <c r="H1169" s="605">
        <f>TRUNC(F1169*G1169,2)</f>
        <v>6.33</v>
      </c>
    </row>
    <row r="1170" spans="2:8" ht="24" x14ac:dyDescent="0.2">
      <c r="B1170" s="508"/>
      <c r="C1170" s="594" t="s">
        <v>35</v>
      </c>
      <c r="D1170" s="516" t="s">
        <v>36</v>
      </c>
      <c r="E1170" s="519" t="s">
        <v>37</v>
      </c>
      <c r="F1170" s="605">
        <v>0.42</v>
      </c>
      <c r="G1170" s="605">
        <f>TRUNC(15.09,2)</f>
        <v>15.09</v>
      </c>
      <c r="H1170" s="605">
        <f>TRUNC(F1170*G1170,2)</f>
        <v>6.33</v>
      </c>
    </row>
    <row r="1171" spans="2:8" x14ac:dyDescent="0.2">
      <c r="B1171" s="508"/>
      <c r="C1171" s="594"/>
      <c r="D1171" s="516"/>
      <c r="E1171" s="519"/>
      <c r="F1171" s="605" t="s">
        <v>38</v>
      </c>
      <c r="G1171" s="605"/>
      <c r="H1171" s="605">
        <f>TRUNC(SUM(H1170:H1170),2)</f>
        <v>6.33</v>
      </c>
    </row>
    <row r="1172" spans="2:8" ht="15" customHeight="1" x14ac:dyDescent="0.2">
      <c r="B1172" s="508" t="s">
        <v>1172</v>
      </c>
      <c r="C1172" s="594" t="s">
        <v>897</v>
      </c>
      <c r="D1172" s="768" t="s">
        <v>898</v>
      </c>
      <c r="E1172" s="519" t="s">
        <v>16</v>
      </c>
      <c r="F1172" s="605">
        <v>1</v>
      </c>
      <c r="G1172" s="605">
        <f>TRUNC(H1174,2)</f>
        <v>10.98</v>
      </c>
      <c r="H1172" s="605">
        <f>TRUNC(F1172*G1172,2)</f>
        <v>10.98</v>
      </c>
    </row>
    <row r="1173" spans="2:8" ht="15" customHeight="1" x14ac:dyDescent="0.2">
      <c r="B1173" s="508"/>
      <c r="C1173" s="594" t="s">
        <v>35</v>
      </c>
      <c r="D1173" s="425" t="s">
        <v>36</v>
      </c>
      <c r="E1173" s="519" t="s">
        <v>37</v>
      </c>
      <c r="F1173" s="605">
        <v>0.72800000000000009</v>
      </c>
      <c r="G1173" s="605">
        <f>TRUNC(15.09,2)</f>
        <v>15.09</v>
      </c>
      <c r="H1173" s="605">
        <f>TRUNC(F1173*G1173,2)</f>
        <v>10.98</v>
      </c>
    </row>
    <row r="1174" spans="2:8" ht="15" customHeight="1" x14ac:dyDescent="0.2">
      <c r="B1174" s="508"/>
      <c r="C1174" s="594"/>
      <c r="D1174" s="425"/>
      <c r="E1174" s="519"/>
      <c r="F1174" s="605" t="s">
        <v>38</v>
      </c>
      <c r="G1174" s="605"/>
      <c r="H1174" s="605">
        <f>TRUNC(SUM(H1173:H1173),2)</f>
        <v>10.98</v>
      </c>
    </row>
    <row r="1175" spans="2:8" ht="15" customHeight="1" x14ac:dyDescent="0.2">
      <c r="B1175" s="508" t="s">
        <v>1173</v>
      </c>
      <c r="C1175" s="594" t="s">
        <v>902</v>
      </c>
      <c r="D1175" s="425" t="s">
        <v>903</v>
      </c>
      <c r="E1175" s="519" t="s">
        <v>22</v>
      </c>
      <c r="F1175" s="605">
        <v>1</v>
      </c>
      <c r="G1175" s="605">
        <f>TRUNC(H1177,2)</f>
        <v>10.14</v>
      </c>
      <c r="H1175" s="605">
        <f>TRUNC(F1175*G1175,2)</f>
        <v>10.14</v>
      </c>
    </row>
    <row r="1176" spans="2:8" ht="15" customHeight="1" x14ac:dyDescent="0.2">
      <c r="B1176" s="508"/>
      <c r="C1176" s="594" t="s">
        <v>35</v>
      </c>
      <c r="D1176" s="425" t="s">
        <v>36</v>
      </c>
      <c r="E1176" s="519" t="s">
        <v>37</v>
      </c>
      <c r="F1176" s="605">
        <v>0.67200000000000004</v>
      </c>
      <c r="G1176" s="605">
        <f>TRUNC(15.09,2)</f>
        <v>15.09</v>
      </c>
      <c r="H1176" s="605">
        <f>TRUNC(F1176*G1176,2)</f>
        <v>10.14</v>
      </c>
    </row>
    <row r="1177" spans="2:8" ht="15" customHeight="1" x14ac:dyDescent="0.2">
      <c r="B1177" s="508"/>
      <c r="C1177" s="594"/>
      <c r="D1177" s="425"/>
      <c r="E1177" s="519"/>
      <c r="F1177" s="605" t="s">
        <v>38</v>
      </c>
      <c r="G1177" s="605"/>
      <c r="H1177" s="605">
        <f>TRUNC(SUM(H1176:H1176),2)</f>
        <v>10.14</v>
      </c>
    </row>
    <row r="1178" spans="2:8" ht="96" x14ac:dyDescent="0.2">
      <c r="B1178" s="508" t="s">
        <v>1174</v>
      </c>
      <c r="C1178" s="5" t="s">
        <v>533</v>
      </c>
      <c r="D1178" s="477" t="s">
        <v>534</v>
      </c>
      <c r="E1178" s="76" t="s">
        <v>22</v>
      </c>
      <c r="F1178" s="425">
        <v>1</v>
      </c>
      <c r="G1178" s="425">
        <f>TRUNC(H1181,2)</f>
        <v>239.32</v>
      </c>
      <c r="H1178" s="425">
        <f>TRUNC(F1178*G1178,2)</f>
        <v>239.32</v>
      </c>
    </row>
    <row r="1179" spans="2:8" x14ac:dyDescent="0.2">
      <c r="B1179" s="448"/>
      <c r="C1179" s="5" t="s">
        <v>35</v>
      </c>
      <c r="D1179" s="76" t="s">
        <v>36</v>
      </c>
      <c r="E1179" s="76" t="s">
        <v>37</v>
      </c>
      <c r="F1179" s="425">
        <v>0.61799999999999999</v>
      </c>
      <c r="G1179" s="425">
        <f>TRUNC(15.09,2)</f>
        <v>15.09</v>
      </c>
      <c r="H1179" s="425">
        <f>TRUNC(F1179*G1179,2)</f>
        <v>9.32</v>
      </c>
    </row>
    <row r="1180" spans="2:8" x14ac:dyDescent="0.2">
      <c r="B1180" s="448"/>
      <c r="C1180" s="5" t="s">
        <v>535</v>
      </c>
      <c r="D1180" s="76" t="s">
        <v>536</v>
      </c>
      <c r="E1180" s="76" t="s">
        <v>22</v>
      </c>
      <c r="F1180" s="425">
        <v>1</v>
      </c>
      <c r="G1180" s="425">
        <f>TRUNC(230,2)</f>
        <v>230</v>
      </c>
      <c r="H1180" s="425">
        <f>TRUNC(F1180*G1180,2)</f>
        <v>230</v>
      </c>
    </row>
    <row r="1181" spans="2:8" x14ac:dyDescent="0.2">
      <c r="B1181" s="448"/>
      <c r="C1181" s="5"/>
      <c r="D1181" s="76"/>
      <c r="E1181" s="76"/>
      <c r="F1181" s="425" t="s">
        <v>38</v>
      </c>
      <c r="G1181" s="425"/>
      <c r="H1181" s="425">
        <f>TRUNC(SUM(H1179:H1180),2)</f>
        <v>239.32</v>
      </c>
    </row>
    <row r="1183" spans="2:8" x14ac:dyDescent="0.2">
      <c r="C1183" s="65"/>
      <c r="E1183" s="73"/>
      <c r="F1183" s="225"/>
      <c r="G1183" s="225"/>
      <c r="H1183" s="225"/>
    </row>
    <row r="1184" spans="2:8" s="52" customFormat="1" ht="15" x14ac:dyDescent="0.25">
      <c r="B1184" s="469"/>
      <c r="C1184" s="221"/>
      <c r="D1184" s="470"/>
      <c r="E1184" s="471"/>
      <c r="F1184" s="472"/>
      <c r="G1184" s="472"/>
      <c r="H1184" s="472"/>
    </row>
    <row r="1185" spans="2:9" ht="15" x14ac:dyDescent="0.25">
      <c r="B1185" s="469"/>
      <c r="C1185" s="221"/>
      <c r="D1185" s="470"/>
      <c r="E1185" s="471"/>
      <c r="F1185" s="472"/>
      <c r="G1185" s="472"/>
      <c r="H1185" s="472"/>
    </row>
    <row r="1186" spans="2:9" ht="15" x14ac:dyDescent="0.25">
      <c r="B1186" s="469"/>
      <c r="C1186" s="221"/>
      <c r="D1186" s="470"/>
      <c r="E1186" s="471"/>
      <c r="F1186" s="472"/>
      <c r="G1186" s="472"/>
      <c r="H1186" s="472"/>
    </row>
    <row r="1187" spans="2:9" ht="15" x14ac:dyDescent="0.25">
      <c r="B1187" s="469"/>
      <c r="C1187" s="221"/>
      <c r="D1187" s="470"/>
      <c r="E1187" s="471"/>
      <c r="F1187" s="472"/>
      <c r="G1187" s="472"/>
      <c r="H1187" s="472"/>
      <c r="I1187" s="52"/>
    </row>
    <row r="1188" spans="2:9" x14ac:dyDescent="0.2">
      <c r="B1188" s="769"/>
      <c r="C1188" s="40"/>
      <c r="D1188" s="52"/>
      <c r="E1188" s="52"/>
      <c r="F1188" s="620"/>
      <c r="G1188" s="620"/>
      <c r="H1188" s="620"/>
      <c r="I1188" s="52"/>
    </row>
    <row r="1189" spans="2:9" x14ac:dyDescent="0.2">
      <c r="B1189" s="769"/>
      <c r="C1189" s="40"/>
      <c r="D1189" s="52"/>
      <c r="E1189" s="52"/>
      <c r="F1189" s="620"/>
      <c r="G1189" s="620"/>
      <c r="H1189" s="620"/>
      <c r="I1189" s="52"/>
    </row>
    <row r="1190" spans="2:9" x14ac:dyDescent="0.2">
      <c r="B1190" s="769"/>
      <c r="C1190" s="40"/>
      <c r="D1190" s="52"/>
      <c r="E1190" s="52"/>
      <c r="F1190" s="620"/>
      <c r="G1190" s="620"/>
      <c r="H1190" s="620"/>
      <c r="I1190" s="52"/>
    </row>
  </sheetData>
  <mergeCells count="11">
    <mergeCell ref="D5:H5"/>
    <mergeCell ref="D6:H6"/>
    <mergeCell ref="D7:H7"/>
    <mergeCell ref="B9:H9"/>
    <mergeCell ref="D8:H8"/>
    <mergeCell ref="C1084:D1084"/>
    <mergeCell ref="I1083:J1083"/>
    <mergeCell ref="D1083:F1083"/>
    <mergeCell ref="D128:G128"/>
    <mergeCell ref="D243:G243"/>
    <mergeCell ref="D277:G277"/>
  </mergeCells>
  <pageMargins left="0.51181102362204722" right="0.51181102362204722" top="0.78740157480314965" bottom="0.78740157480314965" header="0.31496062992125984" footer="0.31496062992125984"/>
  <pageSetup scale="85" orientation="portrait" r:id="rId1"/>
  <headerFooter>
    <oddFooter>&amp;CFolha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38"/>
  <sheetViews>
    <sheetView tabSelected="1" zoomScaleNormal="100" workbookViewId="0">
      <selection activeCell="D5" sqref="D5:F5"/>
    </sheetView>
  </sheetViews>
  <sheetFormatPr defaultRowHeight="15.75" x14ac:dyDescent="0.2"/>
  <cols>
    <col min="1" max="1" width="5" style="41" customWidth="1"/>
    <col min="2" max="2" width="8.42578125" style="444" customWidth="1"/>
    <col min="3" max="3" width="14.5703125" style="65" bestFit="1" customWidth="1"/>
    <col min="4" max="4" width="51.5703125" style="41" customWidth="1"/>
    <col min="5" max="5" width="9" style="73" customWidth="1"/>
    <col min="6" max="7" width="9.85546875" style="225" customWidth="1"/>
    <col min="8" max="8" width="11.7109375" style="225" customWidth="1"/>
    <col min="9" max="9" width="11.28515625" style="225" bestFit="1" customWidth="1"/>
    <col min="10" max="10" width="11.85546875" style="226" customWidth="1"/>
    <col min="11" max="16384" width="9.140625" style="41"/>
  </cols>
  <sheetData>
    <row r="3" spans="1:10" ht="14.25" customHeight="1" x14ac:dyDescent="0.2">
      <c r="D3" s="66"/>
      <c r="E3" s="239"/>
      <c r="G3" s="81"/>
      <c r="H3" s="81"/>
      <c r="I3" s="81"/>
    </row>
    <row r="5" spans="1:10" ht="16.5" customHeight="1" x14ac:dyDescent="0.2">
      <c r="B5" s="445"/>
      <c r="C5" s="67"/>
      <c r="D5" s="666" t="s">
        <v>12</v>
      </c>
      <c r="E5" s="667"/>
      <c r="F5" s="667"/>
      <c r="G5" s="227"/>
      <c r="H5" s="255" t="s">
        <v>82</v>
      </c>
      <c r="I5" s="212" t="s">
        <v>84</v>
      </c>
      <c r="J5" s="256" t="s">
        <v>83</v>
      </c>
    </row>
    <row r="6" spans="1:10" ht="16.5" customHeight="1" x14ac:dyDescent="0.2">
      <c r="B6" s="446"/>
      <c r="C6" s="68"/>
      <c r="D6" s="668"/>
      <c r="E6" s="669"/>
      <c r="F6" s="669"/>
      <c r="G6" s="228"/>
      <c r="H6" s="255"/>
      <c r="I6" s="496">
        <v>2</v>
      </c>
      <c r="J6" s="257" t="s">
        <v>1624</v>
      </c>
    </row>
    <row r="7" spans="1:10" ht="16.5" customHeight="1" x14ac:dyDescent="0.2">
      <c r="B7" s="446"/>
      <c r="C7" s="68"/>
      <c r="D7" s="668" t="s">
        <v>9</v>
      </c>
      <c r="E7" s="670"/>
      <c r="F7" s="670"/>
      <c r="G7" s="266" t="s">
        <v>1572</v>
      </c>
      <c r="H7" s="674" t="s">
        <v>1573</v>
      </c>
      <c r="I7" s="675"/>
      <c r="J7" s="676"/>
    </row>
    <row r="8" spans="1:10" ht="29.25" customHeight="1" x14ac:dyDescent="0.2">
      <c r="B8" s="446"/>
      <c r="C8" s="68"/>
      <c r="D8" s="671" t="s">
        <v>148</v>
      </c>
      <c r="E8" s="672"/>
      <c r="F8" s="673"/>
      <c r="G8" s="265" t="s">
        <v>63</v>
      </c>
      <c r="H8" s="674" t="s">
        <v>1574</v>
      </c>
      <c r="I8" s="675"/>
      <c r="J8" s="676"/>
    </row>
    <row r="9" spans="1:10" ht="29.25" customHeight="1" x14ac:dyDescent="0.2">
      <c r="B9" s="446"/>
      <c r="C9" s="68"/>
      <c r="D9" s="671" t="s">
        <v>149</v>
      </c>
      <c r="E9" s="672"/>
      <c r="F9" s="673"/>
      <c r="G9" s="266" t="s">
        <v>988</v>
      </c>
      <c r="H9" s="674" t="s">
        <v>895</v>
      </c>
      <c r="I9" s="675"/>
      <c r="J9" s="676"/>
    </row>
    <row r="10" spans="1:10" ht="29.25" customHeight="1" x14ac:dyDescent="0.2">
      <c r="B10" s="446"/>
      <c r="C10" s="68"/>
      <c r="D10" s="671" t="s">
        <v>1577</v>
      </c>
      <c r="E10" s="669"/>
      <c r="F10" s="673"/>
      <c r="G10" s="266" t="s">
        <v>64</v>
      </c>
      <c r="H10" s="674" t="s">
        <v>1575</v>
      </c>
      <c r="I10" s="675"/>
      <c r="J10" s="676"/>
    </row>
    <row r="11" spans="1:10" ht="29.25" customHeight="1" x14ac:dyDescent="0.2">
      <c r="B11" s="446"/>
      <c r="C11" s="68"/>
      <c r="D11" s="677" t="s">
        <v>529</v>
      </c>
      <c r="E11" s="678"/>
      <c r="F11" s="679"/>
      <c r="G11" s="267" t="s">
        <v>65</v>
      </c>
      <c r="H11" s="680" t="s">
        <v>69</v>
      </c>
      <c r="I11" s="675"/>
      <c r="J11" s="676"/>
    </row>
    <row r="12" spans="1:10" ht="22.5" customHeight="1" x14ac:dyDescent="0.2">
      <c r="A12" s="47"/>
      <c r="B12" s="681" t="s">
        <v>10</v>
      </c>
      <c r="C12" s="682"/>
      <c r="D12" s="683"/>
      <c r="E12" s="683"/>
      <c r="F12" s="683"/>
      <c r="G12" s="682"/>
      <c r="H12" s="682"/>
      <c r="I12" s="682"/>
      <c r="J12" s="684"/>
    </row>
    <row r="13" spans="1:10" x14ac:dyDescent="0.2">
      <c r="A13" s="47"/>
      <c r="B13" s="447"/>
      <c r="C13" s="69"/>
      <c r="D13" s="69"/>
      <c r="E13" s="70"/>
      <c r="F13" s="231"/>
      <c r="G13" s="231"/>
      <c r="H13" s="231"/>
      <c r="I13" s="231"/>
      <c r="J13" s="232"/>
    </row>
    <row r="14" spans="1:10" x14ac:dyDescent="0.2">
      <c r="A14" s="47"/>
      <c r="B14" s="447"/>
      <c r="C14" s="69"/>
      <c r="D14" s="311"/>
      <c r="E14" s="70"/>
      <c r="F14" s="231"/>
      <c r="G14" s="231"/>
      <c r="H14" s="231"/>
      <c r="I14" s="237" t="s">
        <v>15</v>
      </c>
      <c r="J14" s="74">
        <v>1.2246999999999999</v>
      </c>
    </row>
    <row r="15" spans="1:10" s="52" customFormat="1" x14ac:dyDescent="0.2">
      <c r="A15" s="53"/>
      <c r="B15" s="447"/>
      <c r="C15" s="69"/>
      <c r="D15" s="311"/>
      <c r="E15" s="70"/>
      <c r="F15" s="231"/>
      <c r="G15" s="233"/>
      <c r="H15" s="233"/>
      <c r="I15" s="233"/>
      <c r="J15" s="234"/>
    </row>
    <row r="16" spans="1:10" ht="15.75" customHeight="1" x14ac:dyDescent="0.2">
      <c r="A16" s="47"/>
      <c r="B16" s="447"/>
      <c r="C16" s="69"/>
      <c r="D16" s="69"/>
      <c r="E16" s="70"/>
      <c r="F16" s="211"/>
      <c r="G16" s="663" t="s">
        <v>204</v>
      </c>
      <c r="H16" s="664"/>
      <c r="I16" s="664"/>
      <c r="J16" s="665"/>
    </row>
    <row r="17" spans="1:10" ht="15" customHeight="1" x14ac:dyDescent="0.2">
      <c r="A17" s="47"/>
      <c r="B17" s="689" t="s">
        <v>0</v>
      </c>
      <c r="C17" s="691" t="s">
        <v>11</v>
      </c>
      <c r="D17" s="693" t="s">
        <v>1</v>
      </c>
      <c r="E17" s="685" t="s">
        <v>2</v>
      </c>
      <c r="F17" s="685" t="s">
        <v>3</v>
      </c>
      <c r="G17" s="685" t="s">
        <v>13</v>
      </c>
      <c r="H17" s="685" t="s">
        <v>119</v>
      </c>
      <c r="I17" s="685" t="s">
        <v>14</v>
      </c>
      <c r="J17" s="687" t="s">
        <v>6</v>
      </c>
    </row>
    <row r="18" spans="1:10" ht="12" x14ac:dyDescent="0.2">
      <c r="A18" s="47"/>
      <c r="B18" s="690"/>
      <c r="C18" s="692"/>
      <c r="D18" s="694"/>
      <c r="E18" s="695"/>
      <c r="F18" s="695"/>
      <c r="G18" s="695"/>
      <c r="H18" s="686"/>
      <c r="I18" s="686"/>
      <c r="J18" s="688"/>
    </row>
    <row r="19" spans="1:10" ht="18.75" x14ac:dyDescent="0.2">
      <c r="A19" s="47"/>
      <c r="B19" s="451" t="s">
        <v>89</v>
      </c>
      <c r="C19" s="312"/>
      <c r="D19" s="51" t="s">
        <v>462</v>
      </c>
      <c r="E19" s="310"/>
      <c r="F19" s="55"/>
      <c r="G19" s="55"/>
      <c r="H19" s="54"/>
      <c r="I19" s="54"/>
      <c r="J19" s="235"/>
    </row>
    <row r="20" spans="1:10" ht="48.75" customHeight="1" x14ac:dyDescent="0.2">
      <c r="A20" s="47"/>
      <c r="B20" s="451" t="s">
        <v>90</v>
      </c>
      <c r="C20" s="49" t="s">
        <v>530</v>
      </c>
      <c r="D20" s="58" t="s">
        <v>987</v>
      </c>
      <c r="E20" s="337" t="s">
        <v>16</v>
      </c>
      <c r="F20" s="55">
        <v>12</v>
      </c>
      <c r="G20" s="55">
        <v>334.59</v>
      </c>
      <c r="H20" s="54">
        <f>TRUNC(G20*$J$14,2)</f>
        <v>409.77</v>
      </c>
      <c r="I20" s="54">
        <f>TRUNC(F20*H20,2)</f>
        <v>4917.24</v>
      </c>
      <c r="J20" s="56">
        <f>(I20/$I$233)*100</f>
        <v>1.6484333205563921</v>
      </c>
    </row>
    <row r="21" spans="1:10" ht="96.75" customHeight="1" x14ac:dyDescent="0.2">
      <c r="A21" s="47"/>
      <c r="B21" s="451" t="s">
        <v>91</v>
      </c>
      <c r="C21" s="49" t="s">
        <v>905</v>
      </c>
      <c r="D21" s="58" t="s">
        <v>910</v>
      </c>
      <c r="E21" s="337" t="s">
        <v>906</v>
      </c>
      <c r="F21" s="55">
        <v>4</v>
      </c>
      <c r="G21" s="55">
        <v>800</v>
      </c>
      <c r="H21" s="54">
        <f t="shared" ref="H21:H23" si="0">TRUNC(G21*$J$14,2)</f>
        <v>979.76</v>
      </c>
      <c r="I21" s="54">
        <f t="shared" ref="I21:I23" si="1">TRUNC(F21*H21,2)</f>
        <v>3919.04</v>
      </c>
      <c r="J21" s="56">
        <f>(I21/$I$233)*100</f>
        <v>1.3138012626175097</v>
      </c>
    </row>
    <row r="22" spans="1:10" ht="105.75" customHeight="1" x14ac:dyDescent="0.2">
      <c r="A22" s="47"/>
      <c r="B22" s="451" t="s">
        <v>92</v>
      </c>
      <c r="C22" s="79" t="s">
        <v>917</v>
      </c>
      <c r="D22" s="260" t="s">
        <v>920</v>
      </c>
      <c r="E22" s="75" t="s">
        <v>16</v>
      </c>
      <c r="F22" s="354">
        <v>3.99</v>
      </c>
      <c r="G22" s="354">
        <v>33.799999999999997</v>
      </c>
      <c r="H22" s="54">
        <f t="shared" si="0"/>
        <v>41.39</v>
      </c>
      <c r="I22" s="54">
        <f t="shared" si="1"/>
        <v>165.14</v>
      </c>
      <c r="J22" s="56">
        <f>(I22/$I$233)*100</f>
        <v>5.5360787465464883E-2</v>
      </c>
    </row>
    <row r="23" spans="1:10" ht="88.5" customHeight="1" x14ac:dyDescent="0.2">
      <c r="A23" s="47"/>
      <c r="B23" s="451" t="s">
        <v>93</v>
      </c>
      <c r="C23" s="49" t="s">
        <v>913</v>
      </c>
      <c r="D23" s="50" t="s">
        <v>916</v>
      </c>
      <c r="E23" s="337" t="s">
        <v>16</v>
      </c>
      <c r="F23" s="355">
        <v>19</v>
      </c>
      <c r="G23" s="355">
        <v>19.03</v>
      </c>
      <c r="H23" s="54">
        <f t="shared" si="0"/>
        <v>23.3</v>
      </c>
      <c r="I23" s="54">
        <f t="shared" si="1"/>
        <v>442.7</v>
      </c>
      <c r="J23" s="56">
        <f>(I23/$I$233)*100</f>
        <v>0.14840874779557531</v>
      </c>
    </row>
    <row r="24" spans="1:10" ht="15" customHeight="1" x14ac:dyDescent="0.2">
      <c r="A24" s="47"/>
      <c r="B24" s="452"/>
      <c r="C24" s="71"/>
      <c r="D24" s="72" t="s">
        <v>17</v>
      </c>
      <c r="E24" s="315"/>
      <c r="F24" s="293"/>
      <c r="G24" s="293"/>
      <c r="H24" s="293"/>
      <c r="I24" s="316">
        <f>SUM(I20:I23)</f>
        <v>9444.119999999999</v>
      </c>
      <c r="J24" s="235">
        <f>(I24/$I$233)*100</f>
        <v>3.1660041184349419</v>
      </c>
    </row>
    <row r="25" spans="1:10" ht="18.75" x14ac:dyDescent="0.2">
      <c r="A25" s="47"/>
      <c r="B25" s="451" t="s">
        <v>205</v>
      </c>
      <c r="C25" s="312"/>
      <c r="D25" s="51" t="s">
        <v>395</v>
      </c>
      <c r="E25" s="310"/>
      <c r="F25" s="55"/>
      <c r="G25" s="55"/>
      <c r="H25" s="54"/>
      <c r="I25" s="54"/>
      <c r="J25" s="235"/>
    </row>
    <row r="26" spans="1:10" ht="33" customHeight="1" x14ac:dyDescent="0.2">
      <c r="A26" s="47"/>
      <c r="B26" s="451" t="s">
        <v>1014</v>
      </c>
      <c r="C26" s="49" t="s">
        <v>497</v>
      </c>
      <c r="D26" s="58" t="s">
        <v>498</v>
      </c>
      <c r="E26" s="337" t="s">
        <v>18</v>
      </c>
      <c r="F26" s="55">
        <v>103.44</v>
      </c>
      <c r="G26" s="55">
        <v>2.66</v>
      </c>
      <c r="H26" s="54">
        <f t="shared" ref="H26:H31" si="2">TRUNC(G26*$J$14,2)</f>
        <v>3.25</v>
      </c>
      <c r="I26" s="54">
        <f t="shared" ref="I26:I31" si="3">TRUNC(F26*H26,2)</f>
        <v>336.18</v>
      </c>
      <c r="J26" s="56">
        <f t="shared" ref="J26:J32" si="4">(I26/$I$233)*100</f>
        <v>0.11269946427358599</v>
      </c>
    </row>
    <row r="27" spans="1:10" ht="42.75" customHeight="1" x14ac:dyDescent="0.2">
      <c r="A27" s="47"/>
      <c r="B27" s="451" t="s">
        <v>1015</v>
      </c>
      <c r="C27" s="49" t="s">
        <v>531</v>
      </c>
      <c r="D27" s="58" t="s">
        <v>946</v>
      </c>
      <c r="E27" s="337" t="s">
        <v>16</v>
      </c>
      <c r="F27" s="55">
        <v>257.76</v>
      </c>
      <c r="G27" s="55">
        <v>12.83</v>
      </c>
      <c r="H27" s="54">
        <f t="shared" si="2"/>
        <v>15.71</v>
      </c>
      <c r="I27" s="54">
        <f t="shared" si="3"/>
        <v>4049.4</v>
      </c>
      <c r="J27" s="56">
        <f t="shared" si="4"/>
        <v>1.3575025600257573</v>
      </c>
    </row>
    <row r="28" spans="1:10" ht="32.25" customHeight="1" x14ac:dyDescent="0.2">
      <c r="A28" s="47"/>
      <c r="B28" s="451" t="s">
        <v>1016</v>
      </c>
      <c r="C28" s="49" t="s">
        <v>500</v>
      </c>
      <c r="D28" s="58" t="s">
        <v>501</v>
      </c>
      <c r="E28" s="337" t="s">
        <v>19</v>
      </c>
      <c r="F28" s="55">
        <v>16.04</v>
      </c>
      <c r="G28" s="55">
        <v>57.12</v>
      </c>
      <c r="H28" s="54">
        <f t="shared" si="2"/>
        <v>69.95</v>
      </c>
      <c r="I28" s="54">
        <f t="shared" si="3"/>
        <v>1121.99</v>
      </c>
      <c r="J28" s="56">
        <f t="shared" si="4"/>
        <v>0.37613085823166376</v>
      </c>
    </row>
    <row r="29" spans="1:10" ht="43.5" customHeight="1" x14ac:dyDescent="0.2">
      <c r="A29" s="47"/>
      <c r="B29" s="451" t="s">
        <v>1017</v>
      </c>
      <c r="C29" s="62" t="s">
        <v>532</v>
      </c>
      <c r="D29" s="58" t="s">
        <v>947</v>
      </c>
      <c r="E29" s="337" t="s">
        <v>16</v>
      </c>
      <c r="F29" s="55">
        <v>107.46</v>
      </c>
      <c r="G29" s="55">
        <v>18.649999999999999</v>
      </c>
      <c r="H29" s="54">
        <f t="shared" si="2"/>
        <v>22.84</v>
      </c>
      <c r="I29" s="54">
        <f t="shared" si="3"/>
        <v>2454.38</v>
      </c>
      <c r="J29" s="56">
        <f t="shared" si="4"/>
        <v>0.82279526183533813</v>
      </c>
    </row>
    <row r="30" spans="1:10" ht="43.5" customHeight="1" x14ac:dyDescent="0.2">
      <c r="A30" s="47"/>
      <c r="B30" s="451" t="s">
        <v>1018</v>
      </c>
      <c r="C30" s="219" t="s">
        <v>837</v>
      </c>
      <c r="D30" s="58" t="s">
        <v>839</v>
      </c>
      <c r="E30" s="338" t="s">
        <v>16</v>
      </c>
      <c r="F30" s="76">
        <v>15.42</v>
      </c>
      <c r="G30" s="76">
        <v>3.34</v>
      </c>
      <c r="H30" s="76">
        <f>TRUNC(G30*$J$14,2)</f>
        <v>4.09</v>
      </c>
      <c r="I30" s="76">
        <f t="shared" si="3"/>
        <v>63.06</v>
      </c>
      <c r="J30" s="56">
        <f>(I30/$I$233)*100</f>
        <v>2.1139949482694785E-2</v>
      </c>
    </row>
    <row r="31" spans="1:10" ht="76.5" customHeight="1" x14ac:dyDescent="0.2">
      <c r="A31" s="47"/>
      <c r="B31" s="451" t="s">
        <v>1019</v>
      </c>
      <c r="C31" s="49" t="s">
        <v>533</v>
      </c>
      <c r="D31" s="58" t="s">
        <v>538</v>
      </c>
      <c r="E31" s="338" t="s">
        <v>22</v>
      </c>
      <c r="F31" s="60">
        <v>9</v>
      </c>
      <c r="G31" s="60">
        <v>239.32</v>
      </c>
      <c r="H31" s="237">
        <f t="shared" si="2"/>
        <v>293.08999999999997</v>
      </c>
      <c r="I31" s="237">
        <f t="shared" si="3"/>
        <v>2637.81</v>
      </c>
      <c r="J31" s="56">
        <f t="shared" si="4"/>
        <v>0.88428750626303709</v>
      </c>
    </row>
    <row r="32" spans="1:10" ht="20.100000000000001" customHeight="1" x14ac:dyDescent="0.2">
      <c r="A32" s="47"/>
      <c r="B32" s="452"/>
      <c r="C32" s="71"/>
      <c r="D32" s="72" t="s">
        <v>17</v>
      </c>
      <c r="E32" s="315"/>
      <c r="F32" s="293"/>
      <c r="G32" s="293"/>
      <c r="H32" s="293"/>
      <c r="I32" s="316">
        <f>SUM(I26:I31)</f>
        <v>10662.82</v>
      </c>
      <c r="J32" s="235">
        <f t="shared" si="4"/>
        <v>3.5745556001120766</v>
      </c>
    </row>
    <row r="33" spans="1:10" ht="18.75" x14ac:dyDescent="0.2">
      <c r="A33" s="47"/>
      <c r="B33" s="451" t="s">
        <v>98</v>
      </c>
      <c r="C33" s="322"/>
      <c r="D33" s="466" t="s">
        <v>396</v>
      </c>
      <c r="E33" s="326"/>
      <c r="F33" s="55"/>
      <c r="G33" s="55"/>
      <c r="H33" s="54"/>
      <c r="I33" s="54"/>
      <c r="J33" s="235"/>
    </row>
    <row r="34" spans="1:10" ht="36.75" customHeight="1" x14ac:dyDescent="0.2">
      <c r="A34" s="47"/>
      <c r="B34" s="451" t="s">
        <v>1020</v>
      </c>
      <c r="C34" s="49" t="s">
        <v>471</v>
      </c>
      <c r="D34" s="339" t="s">
        <v>948</v>
      </c>
      <c r="E34" s="337" t="s">
        <v>16</v>
      </c>
      <c r="F34" s="55">
        <v>43.36</v>
      </c>
      <c r="G34" s="55">
        <v>34.89</v>
      </c>
      <c r="H34" s="54">
        <f t="shared" ref="H34:H48" si="5">TRUNC(G34*$J$14,2)</f>
        <v>42.72</v>
      </c>
      <c r="I34" s="54">
        <f t="shared" ref="I34:I48" si="6">TRUNC(F34*H34,2)</f>
        <v>1852.33</v>
      </c>
      <c r="J34" s="56">
        <f t="shared" ref="J34:J49" si="7">(I34/$I$233)*100</f>
        <v>0.62096674001395535</v>
      </c>
    </row>
    <row r="35" spans="1:10" ht="44.25" customHeight="1" x14ac:dyDescent="0.2">
      <c r="A35" s="47"/>
      <c r="B35" s="451" t="s">
        <v>1021</v>
      </c>
      <c r="C35" s="5" t="s">
        <v>469</v>
      </c>
      <c r="D35" s="339" t="s">
        <v>949</v>
      </c>
      <c r="E35" s="338" t="s">
        <v>16</v>
      </c>
      <c r="F35" s="60">
        <v>31.96</v>
      </c>
      <c r="G35" s="60">
        <v>33.770000000000003</v>
      </c>
      <c r="H35" s="237">
        <f t="shared" si="5"/>
        <v>41.35</v>
      </c>
      <c r="I35" s="237">
        <f t="shared" si="6"/>
        <v>1321.54</v>
      </c>
      <c r="J35" s="56">
        <f t="shared" si="7"/>
        <v>0.4430270986260777</v>
      </c>
    </row>
    <row r="36" spans="1:10" ht="49.5" customHeight="1" x14ac:dyDescent="0.2">
      <c r="A36" s="47"/>
      <c r="B36" s="451" t="s">
        <v>1022</v>
      </c>
      <c r="C36" s="5" t="s">
        <v>472</v>
      </c>
      <c r="D36" s="58" t="s">
        <v>540</v>
      </c>
      <c r="E36" s="338" t="s">
        <v>16</v>
      </c>
      <c r="F36" s="60">
        <v>3.03</v>
      </c>
      <c r="G36" s="60">
        <v>44.33</v>
      </c>
      <c r="H36" s="237">
        <f t="shared" si="5"/>
        <v>54.29</v>
      </c>
      <c r="I36" s="237">
        <f t="shared" si="6"/>
        <v>164.49</v>
      </c>
      <c r="J36" s="56">
        <f t="shared" si="7"/>
        <v>5.5142884402290912E-2</v>
      </c>
    </row>
    <row r="37" spans="1:10" ht="32.25" customHeight="1" x14ac:dyDescent="0.2">
      <c r="A37" s="47"/>
      <c r="B37" s="451" t="s">
        <v>1023</v>
      </c>
      <c r="C37" s="49" t="s">
        <v>473</v>
      </c>
      <c r="D37" s="58" t="s">
        <v>474</v>
      </c>
      <c r="E37" s="337" t="s">
        <v>16</v>
      </c>
      <c r="F37" s="55">
        <v>27.67</v>
      </c>
      <c r="G37" s="55">
        <v>9.32</v>
      </c>
      <c r="H37" s="237">
        <f t="shared" si="5"/>
        <v>11.41</v>
      </c>
      <c r="I37" s="237">
        <f t="shared" si="6"/>
        <v>315.70999999999998</v>
      </c>
      <c r="J37" s="56">
        <f t="shared" si="7"/>
        <v>0.10583719396101443</v>
      </c>
    </row>
    <row r="38" spans="1:10" ht="30.75" customHeight="1" x14ac:dyDescent="0.2">
      <c r="A38" s="47"/>
      <c r="B38" s="451" t="s">
        <v>1024</v>
      </c>
      <c r="C38" s="49" t="s">
        <v>475</v>
      </c>
      <c r="D38" s="58" t="s">
        <v>476</v>
      </c>
      <c r="E38" s="337" t="s">
        <v>16</v>
      </c>
      <c r="F38" s="55">
        <v>6.46</v>
      </c>
      <c r="G38" s="55">
        <v>26.85</v>
      </c>
      <c r="H38" s="54">
        <f t="shared" si="5"/>
        <v>32.880000000000003</v>
      </c>
      <c r="I38" s="54">
        <f t="shared" si="6"/>
        <v>212.4</v>
      </c>
      <c r="J38" s="56">
        <f t="shared" si="7"/>
        <v>7.1204016335622775E-2</v>
      </c>
    </row>
    <row r="39" spans="1:10" ht="34.5" customHeight="1" x14ac:dyDescent="0.2">
      <c r="A39" s="47"/>
      <c r="B39" s="451" t="s">
        <v>1025</v>
      </c>
      <c r="C39" s="49" t="s">
        <v>478</v>
      </c>
      <c r="D39" s="58" t="s">
        <v>950</v>
      </c>
      <c r="E39" s="337" t="s">
        <v>16</v>
      </c>
      <c r="F39" s="55">
        <v>1.73</v>
      </c>
      <c r="G39" s="55">
        <v>26.85</v>
      </c>
      <c r="H39" s="54">
        <f t="shared" si="5"/>
        <v>32.880000000000003</v>
      </c>
      <c r="I39" s="54">
        <f t="shared" si="6"/>
        <v>56.88</v>
      </c>
      <c r="J39" s="56">
        <f t="shared" si="7"/>
        <v>1.9068194205132876E-2</v>
      </c>
    </row>
    <row r="40" spans="1:10" ht="32.25" customHeight="1" x14ac:dyDescent="0.2">
      <c r="A40" s="47"/>
      <c r="B40" s="451" t="s">
        <v>1026</v>
      </c>
      <c r="C40" s="49" t="s">
        <v>479</v>
      </c>
      <c r="D40" s="58" t="s">
        <v>480</v>
      </c>
      <c r="E40" s="337" t="s">
        <v>18</v>
      </c>
      <c r="F40" s="55">
        <v>4.59</v>
      </c>
      <c r="G40" s="55">
        <v>53.63</v>
      </c>
      <c r="H40" s="54">
        <f t="shared" si="5"/>
        <v>65.680000000000007</v>
      </c>
      <c r="I40" s="54">
        <f t="shared" si="6"/>
        <v>301.47000000000003</v>
      </c>
      <c r="J40" s="56">
        <f t="shared" si="7"/>
        <v>0.1010634407000951</v>
      </c>
    </row>
    <row r="41" spans="1:10" ht="27.75" customHeight="1" x14ac:dyDescent="0.2">
      <c r="A41" s="47"/>
      <c r="B41" s="451" t="s">
        <v>1027</v>
      </c>
      <c r="C41" s="49" t="s">
        <v>481</v>
      </c>
      <c r="D41" s="58" t="s">
        <v>482</v>
      </c>
      <c r="E41" s="337" t="s">
        <v>22</v>
      </c>
      <c r="F41" s="55">
        <v>20</v>
      </c>
      <c r="G41" s="55">
        <v>8.9700000000000006</v>
      </c>
      <c r="H41" s="54">
        <f t="shared" si="5"/>
        <v>10.98</v>
      </c>
      <c r="I41" s="54">
        <f t="shared" si="6"/>
        <v>219.6</v>
      </c>
      <c r="J41" s="56">
        <f t="shared" si="7"/>
        <v>7.3617711804626923E-2</v>
      </c>
    </row>
    <row r="42" spans="1:10" ht="31.5" customHeight="1" x14ac:dyDescent="0.2">
      <c r="A42" s="47"/>
      <c r="B42" s="451" t="s">
        <v>1028</v>
      </c>
      <c r="C42" s="49" t="s">
        <v>483</v>
      </c>
      <c r="D42" s="58" t="s">
        <v>484</v>
      </c>
      <c r="E42" s="337" t="s">
        <v>22</v>
      </c>
      <c r="F42" s="55">
        <v>15</v>
      </c>
      <c r="G42" s="55">
        <v>12.31</v>
      </c>
      <c r="H42" s="54">
        <f t="shared" si="5"/>
        <v>15.07</v>
      </c>
      <c r="I42" s="54">
        <f t="shared" si="6"/>
        <v>226.05</v>
      </c>
      <c r="J42" s="56">
        <f t="shared" si="7"/>
        <v>7.5779980662276494E-2</v>
      </c>
    </row>
    <row r="43" spans="1:10" ht="30.75" customHeight="1" x14ac:dyDescent="0.2">
      <c r="A43" s="47"/>
      <c r="B43" s="451" t="s">
        <v>1029</v>
      </c>
      <c r="C43" s="49" t="s">
        <v>485</v>
      </c>
      <c r="D43" s="58" t="s">
        <v>486</v>
      </c>
      <c r="E43" s="337" t="s">
        <v>22</v>
      </c>
      <c r="F43" s="55">
        <v>51</v>
      </c>
      <c r="G43" s="55">
        <v>0.66</v>
      </c>
      <c r="H43" s="54">
        <f t="shared" si="5"/>
        <v>0.8</v>
      </c>
      <c r="I43" s="54">
        <f t="shared" si="6"/>
        <v>40.799999999999997</v>
      </c>
      <c r="J43" s="56">
        <f t="shared" si="7"/>
        <v>1.3677607657690247E-2</v>
      </c>
    </row>
    <row r="44" spans="1:10" ht="30" customHeight="1" x14ac:dyDescent="0.2">
      <c r="A44" s="47"/>
      <c r="B44" s="451" t="s">
        <v>1030</v>
      </c>
      <c r="C44" s="49" t="s">
        <v>487</v>
      </c>
      <c r="D44" s="58" t="s">
        <v>488</v>
      </c>
      <c r="E44" s="337" t="s">
        <v>22</v>
      </c>
      <c r="F44" s="55">
        <v>32</v>
      </c>
      <c r="G44" s="55">
        <v>1.29</v>
      </c>
      <c r="H44" s="54">
        <f t="shared" si="5"/>
        <v>1.57</v>
      </c>
      <c r="I44" s="54">
        <f t="shared" si="6"/>
        <v>50.24</v>
      </c>
      <c r="J44" s="56">
        <f t="shared" si="7"/>
        <v>1.6842230605940152E-2</v>
      </c>
    </row>
    <row r="45" spans="1:10" ht="30" customHeight="1" x14ac:dyDescent="0.2">
      <c r="B45" s="451" t="s">
        <v>1031</v>
      </c>
      <c r="C45" s="49" t="s">
        <v>492</v>
      </c>
      <c r="D45" s="58" t="s">
        <v>951</v>
      </c>
      <c r="E45" s="337" t="s">
        <v>22</v>
      </c>
      <c r="F45" s="80">
        <v>8</v>
      </c>
      <c r="G45" s="80">
        <v>24.91</v>
      </c>
      <c r="H45" s="80">
        <f t="shared" si="5"/>
        <v>30.5</v>
      </c>
      <c r="I45" s="80">
        <f t="shared" si="6"/>
        <v>244</v>
      </c>
      <c r="J45" s="56">
        <f t="shared" si="7"/>
        <v>8.179745756069659E-2</v>
      </c>
    </row>
    <row r="46" spans="1:10" ht="31.5" customHeight="1" x14ac:dyDescent="0.2">
      <c r="B46" s="451" t="s">
        <v>1032</v>
      </c>
      <c r="C46" s="49" t="s">
        <v>493</v>
      </c>
      <c r="D46" s="58" t="s">
        <v>20</v>
      </c>
      <c r="E46" s="337" t="s">
        <v>19</v>
      </c>
      <c r="F46" s="80">
        <v>18</v>
      </c>
      <c r="G46" s="80">
        <v>25.09</v>
      </c>
      <c r="H46" s="80">
        <f t="shared" si="5"/>
        <v>30.72</v>
      </c>
      <c r="I46" s="80">
        <f t="shared" si="6"/>
        <v>552.96</v>
      </c>
      <c r="J46" s="56">
        <f t="shared" si="7"/>
        <v>0.18537181201951963</v>
      </c>
    </row>
    <row r="47" spans="1:10" ht="42" customHeight="1" x14ac:dyDescent="0.2">
      <c r="B47" s="451" t="s">
        <v>1033</v>
      </c>
      <c r="C47" s="57" t="s">
        <v>494</v>
      </c>
      <c r="D47" s="64" t="s">
        <v>97</v>
      </c>
      <c r="E47" s="340" t="s">
        <v>21</v>
      </c>
      <c r="F47" s="285">
        <v>104.4</v>
      </c>
      <c r="G47" s="285">
        <v>1.61</v>
      </c>
      <c r="H47" s="285">
        <f t="shared" si="5"/>
        <v>1.97</v>
      </c>
      <c r="I47" s="80">
        <f t="shared" si="6"/>
        <v>205.66</v>
      </c>
      <c r="J47" s="56">
        <f t="shared" si="7"/>
        <v>6.894452918824942E-2</v>
      </c>
    </row>
    <row r="48" spans="1:10" ht="25.5" customHeight="1" x14ac:dyDescent="0.2">
      <c r="B48" s="451" t="s">
        <v>1034</v>
      </c>
      <c r="C48" s="5" t="s">
        <v>1623</v>
      </c>
      <c r="D48" s="58" t="s">
        <v>952</v>
      </c>
      <c r="E48" s="338" t="s">
        <v>19</v>
      </c>
      <c r="F48" s="80">
        <v>18</v>
      </c>
      <c r="G48" s="80">
        <v>12.545</v>
      </c>
      <c r="H48" s="80">
        <f t="shared" si="5"/>
        <v>15.36</v>
      </c>
      <c r="I48" s="80">
        <f t="shared" si="6"/>
        <v>276.48</v>
      </c>
      <c r="J48" s="56">
        <f t="shared" si="7"/>
        <v>9.2685906009759816E-2</v>
      </c>
    </row>
    <row r="49" spans="1:10" ht="15" customHeight="1" x14ac:dyDescent="0.2">
      <c r="A49" s="47"/>
      <c r="B49" s="452"/>
      <c r="C49" s="71"/>
      <c r="D49" s="72" t="s">
        <v>17</v>
      </c>
      <c r="E49" s="315"/>
      <c r="F49" s="293"/>
      <c r="G49" s="293"/>
      <c r="H49" s="293"/>
      <c r="I49" s="316">
        <f>SUM(I34:I48)</f>
        <v>6040.6100000000006</v>
      </c>
      <c r="J49" s="235">
        <f t="shared" si="7"/>
        <v>2.0250268037529486</v>
      </c>
    </row>
    <row r="50" spans="1:10" ht="18.75" customHeight="1" x14ac:dyDescent="0.2">
      <c r="B50" s="450" t="s">
        <v>99</v>
      </c>
      <c r="C50" s="224"/>
      <c r="D50" s="48" t="s">
        <v>514</v>
      </c>
      <c r="E50" s="74"/>
      <c r="F50" s="317"/>
      <c r="G50" s="317"/>
      <c r="H50" s="287"/>
      <c r="I50" s="318"/>
      <c r="J50" s="235"/>
    </row>
    <row r="51" spans="1:10" ht="83.25" customHeight="1" x14ac:dyDescent="0.2">
      <c r="B51" s="450" t="s">
        <v>1035</v>
      </c>
      <c r="C51" s="224" t="s">
        <v>613</v>
      </c>
      <c r="D51" s="58" t="s">
        <v>614</v>
      </c>
      <c r="E51" s="341" t="s">
        <v>16</v>
      </c>
      <c r="F51" s="237">
        <v>248.39</v>
      </c>
      <c r="G51" s="237">
        <v>50.19</v>
      </c>
      <c r="H51" s="80">
        <f>TRUNC(G51*$J$14,2)</f>
        <v>61.46</v>
      </c>
      <c r="I51" s="80">
        <f>TRUNC(F51*H51,2)</f>
        <v>15266.04</v>
      </c>
      <c r="J51" s="56">
        <f>(I51/$I$233)*100</f>
        <v>5.1177182746717076</v>
      </c>
    </row>
    <row r="52" spans="1:10" ht="75.75" customHeight="1" x14ac:dyDescent="0.2">
      <c r="B52" s="450" t="s">
        <v>1036</v>
      </c>
      <c r="C52" s="224" t="s">
        <v>620</v>
      </c>
      <c r="D52" s="58" t="s">
        <v>953</v>
      </c>
      <c r="E52" s="341" t="s">
        <v>16</v>
      </c>
      <c r="F52" s="237">
        <v>8.64</v>
      </c>
      <c r="G52" s="237">
        <v>342.76</v>
      </c>
      <c r="H52" s="80">
        <f>TRUNC(G52*$J$14,2)</f>
        <v>419.77</v>
      </c>
      <c r="I52" s="80">
        <f>TRUNC(F52*H52,2)</f>
        <v>3626.81</v>
      </c>
      <c r="J52" s="56">
        <f>(I52/$I$233)*100</f>
        <v>1.2158353977693033</v>
      </c>
    </row>
    <row r="53" spans="1:10" ht="29.25" customHeight="1" x14ac:dyDescent="0.2">
      <c r="B53" s="450" t="s">
        <v>1037</v>
      </c>
      <c r="C53" s="224" t="s">
        <v>625</v>
      </c>
      <c r="D53" s="58" t="s">
        <v>626</v>
      </c>
      <c r="E53" s="341" t="s">
        <v>18</v>
      </c>
      <c r="F53" s="80">
        <v>76.3</v>
      </c>
      <c r="G53" s="80">
        <v>55.3</v>
      </c>
      <c r="H53" s="80">
        <f t="shared" ref="H53:H54" si="8">TRUNC(G53*$J$14,2)</f>
        <v>67.72</v>
      </c>
      <c r="I53" s="80">
        <f t="shared" ref="I53:I54" si="9">TRUNC(F53*H53,2)</f>
        <v>5167.03</v>
      </c>
      <c r="J53" s="56">
        <f>(I53/$I$233)*100</f>
        <v>1.7321717915567463</v>
      </c>
    </row>
    <row r="54" spans="1:10" ht="30.75" customHeight="1" x14ac:dyDescent="0.2">
      <c r="B54" s="450" t="s">
        <v>1038</v>
      </c>
      <c r="C54" s="224" t="s">
        <v>623</v>
      </c>
      <c r="D54" s="58" t="s">
        <v>624</v>
      </c>
      <c r="E54" s="341" t="s">
        <v>18</v>
      </c>
      <c r="F54" s="80">
        <v>32.200000000000003</v>
      </c>
      <c r="G54" s="80">
        <v>52.12</v>
      </c>
      <c r="H54" s="80">
        <f t="shared" si="8"/>
        <v>63.83</v>
      </c>
      <c r="I54" s="80">
        <f t="shared" si="9"/>
        <v>2055.3200000000002</v>
      </c>
      <c r="J54" s="56">
        <f>(I54/$I$233)*100</f>
        <v>0.68901619046578244</v>
      </c>
    </row>
    <row r="55" spans="1:10" ht="15" customHeight="1" x14ac:dyDescent="0.2">
      <c r="A55" s="47"/>
      <c r="B55" s="452"/>
      <c r="C55" s="71"/>
      <c r="D55" s="72" t="s">
        <v>17</v>
      </c>
      <c r="E55" s="315"/>
      <c r="F55" s="293"/>
      <c r="G55" s="293"/>
      <c r="H55" s="293"/>
      <c r="I55" s="316">
        <f>SUM(I51:I54)</f>
        <v>26115.200000000001</v>
      </c>
      <c r="J55" s="235">
        <f>(I55/$I$233)*100</f>
        <v>8.7547416544635404</v>
      </c>
    </row>
    <row r="56" spans="1:10" ht="18.75" x14ac:dyDescent="0.2">
      <c r="A56" s="47"/>
      <c r="B56" s="451" t="s">
        <v>100</v>
      </c>
      <c r="C56" s="322"/>
      <c r="D56" s="48" t="s">
        <v>66</v>
      </c>
      <c r="E56" s="326"/>
      <c r="F56" s="55"/>
      <c r="G56" s="55"/>
      <c r="H56" s="54"/>
      <c r="I56" s="54"/>
      <c r="J56" s="235"/>
    </row>
    <row r="57" spans="1:10" ht="68.25" customHeight="1" x14ac:dyDescent="0.2">
      <c r="A57" s="47"/>
      <c r="B57" s="451" t="s">
        <v>1039</v>
      </c>
      <c r="C57" s="49" t="s">
        <v>179</v>
      </c>
      <c r="D57" s="50" t="s">
        <v>542</v>
      </c>
      <c r="E57" s="326" t="s">
        <v>22</v>
      </c>
      <c r="F57" s="55">
        <v>61</v>
      </c>
      <c r="G57" s="55">
        <v>146.76</v>
      </c>
      <c r="H57" s="54">
        <f>TRUNC(G57*$J$14,2)</f>
        <v>179.73</v>
      </c>
      <c r="I57" s="54">
        <f>TRUNC(F57*H57,2)</f>
        <v>10963.53</v>
      </c>
      <c r="J57" s="56">
        <f t="shared" ref="J57:J77" si="10">(I57/$I$233)*100</f>
        <v>3.6753642618459996</v>
      </c>
    </row>
    <row r="58" spans="1:10" ht="54" customHeight="1" x14ac:dyDescent="0.2">
      <c r="A58" s="47"/>
      <c r="B58" s="451" t="s">
        <v>1040</v>
      </c>
      <c r="C58" s="49" t="s">
        <v>541</v>
      </c>
      <c r="D58" s="50" t="s">
        <v>543</v>
      </c>
      <c r="E58" s="326" t="s">
        <v>22</v>
      </c>
      <c r="F58" s="55">
        <v>40</v>
      </c>
      <c r="G58" s="55">
        <v>164.88</v>
      </c>
      <c r="H58" s="54">
        <f>TRUNC(G58*$J$14,2)</f>
        <v>201.92</v>
      </c>
      <c r="I58" s="54">
        <f>TRUNC(F58*H58,2)</f>
        <v>8076.8</v>
      </c>
      <c r="J58" s="56">
        <f t="shared" si="10"/>
        <v>2.7076299394517793</v>
      </c>
    </row>
    <row r="59" spans="1:10" ht="48" x14ac:dyDescent="0.2">
      <c r="A59" s="47"/>
      <c r="B59" s="451" t="s">
        <v>1041</v>
      </c>
      <c r="C59" s="49" t="s">
        <v>544</v>
      </c>
      <c r="D59" s="50" t="s">
        <v>545</v>
      </c>
      <c r="E59" s="326" t="s">
        <v>22</v>
      </c>
      <c r="F59" s="55">
        <v>9</v>
      </c>
      <c r="G59" s="55">
        <v>187.81</v>
      </c>
      <c r="H59" s="54">
        <f>TRUNC(G59*$J$14,2)</f>
        <v>230.01</v>
      </c>
      <c r="I59" s="54">
        <f>TRUNC(F59*H59,2)</f>
        <v>2070.09</v>
      </c>
      <c r="J59" s="56">
        <f t="shared" si="10"/>
        <v>0.69396761853205913</v>
      </c>
    </row>
    <row r="60" spans="1:10" ht="66" customHeight="1" x14ac:dyDescent="0.2">
      <c r="A60" s="47"/>
      <c r="B60" s="451" t="s">
        <v>1042</v>
      </c>
      <c r="C60" s="49" t="s">
        <v>181</v>
      </c>
      <c r="D60" s="50" t="s">
        <v>546</v>
      </c>
      <c r="E60" s="326" t="s">
        <v>22</v>
      </c>
      <c r="F60" s="55">
        <v>2</v>
      </c>
      <c r="G60" s="55">
        <v>205.07</v>
      </c>
      <c r="H60" s="54">
        <f t="shared" ref="H60:H76" si="11">TRUNC(G60*$J$14,2)</f>
        <v>251.14</v>
      </c>
      <c r="I60" s="54">
        <f t="shared" ref="I60:I76" si="12">TRUNC(F60*H60,2)</f>
        <v>502.28</v>
      </c>
      <c r="J60" s="56">
        <f t="shared" si="10"/>
        <v>0.16838207780158473</v>
      </c>
    </row>
    <row r="61" spans="1:10" ht="50.25" customHeight="1" x14ac:dyDescent="0.2">
      <c r="A61" s="47"/>
      <c r="B61" s="451" t="s">
        <v>1043</v>
      </c>
      <c r="C61" s="49" t="s">
        <v>551</v>
      </c>
      <c r="D61" s="50" t="s">
        <v>954</v>
      </c>
      <c r="E61" s="326" t="s">
        <v>22</v>
      </c>
      <c r="F61" s="55">
        <v>57</v>
      </c>
      <c r="G61" s="55">
        <v>22.99</v>
      </c>
      <c r="H61" s="54">
        <f t="shared" si="11"/>
        <v>28.15</v>
      </c>
      <c r="I61" s="54">
        <f t="shared" si="12"/>
        <v>1604.55</v>
      </c>
      <c r="J61" s="56">
        <f t="shared" si="10"/>
        <v>0.53790209233203157</v>
      </c>
    </row>
    <row r="62" spans="1:10" ht="36" x14ac:dyDescent="0.2">
      <c r="A62" s="47"/>
      <c r="B62" s="451" t="s">
        <v>1044</v>
      </c>
      <c r="C62" s="49" t="s">
        <v>155</v>
      </c>
      <c r="D62" s="50" t="s">
        <v>156</v>
      </c>
      <c r="E62" s="326" t="s">
        <v>22</v>
      </c>
      <c r="F62" s="55">
        <v>2</v>
      </c>
      <c r="G62" s="55">
        <v>86.61</v>
      </c>
      <c r="H62" s="54">
        <f t="shared" si="11"/>
        <v>106.07</v>
      </c>
      <c r="I62" s="54">
        <f t="shared" si="12"/>
        <v>212.14</v>
      </c>
      <c r="J62" s="56">
        <f t="shared" si="10"/>
        <v>7.1116855110353178E-2</v>
      </c>
    </row>
    <row r="63" spans="1:10" ht="36" x14ac:dyDescent="0.2">
      <c r="A63" s="47"/>
      <c r="B63" s="451" t="s">
        <v>1045</v>
      </c>
      <c r="C63" s="5" t="s">
        <v>182</v>
      </c>
      <c r="D63" s="50" t="s">
        <v>183</v>
      </c>
      <c r="E63" s="326" t="s">
        <v>22</v>
      </c>
      <c r="F63" s="55">
        <v>12</v>
      </c>
      <c r="G63" s="55">
        <v>13.344999999999999</v>
      </c>
      <c r="H63" s="54">
        <f t="shared" si="11"/>
        <v>16.34</v>
      </c>
      <c r="I63" s="54">
        <f t="shared" si="12"/>
        <v>196.08</v>
      </c>
      <c r="J63" s="56">
        <f t="shared" si="10"/>
        <v>6.5732973272546666E-2</v>
      </c>
    </row>
    <row r="64" spans="1:10" ht="35.25" customHeight="1" x14ac:dyDescent="0.2">
      <c r="A64" s="47"/>
      <c r="B64" s="451" t="s">
        <v>1046</v>
      </c>
      <c r="C64" s="5" t="s">
        <v>163</v>
      </c>
      <c r="D64" s="58" t="s">
        <v>122</v>
      </c>
      <c r="E64" s="59" t="s">
        <v>22</v>
      </c>
      <c r="F64" s="55">
        <v>7</v>
      </c>
      <c r="G64" s="55">
        <v>67.760000000000005</v>
      </c>
      <c r="H64" s="54">
        <f t="shared" si="11"/>
        <v>82.98</v>
      </c>
      <c r="I64" s="54">
        <f t="shared" si="12"/>
        <v>580.86</v>
      </c>
      <c r="J64" s="56">
        <f t="shared" si="10"/>
        <v>0.19472488196191073</v>
      </c>
    </row>
    <row r="65" spans="1:10" ht="29.25" customHeight="1" x14ac:dyDescent="0.2">
      <c r="A65" s="47"/>
      <c r="B65" s="451" t="s">
        <v>1047</v>
      </c>
      <c r="C65" s="5" t="s">
        <v>164</v>
      </c>
      <c r="D65" s="58" t="s">
        <v>165</v>
      </c>
      <c r="E65" s="59" t="s">
        <v>22</v>
      </c>
      <c r="F65" s="55">
        <v>4</v>
      </c>
      <c r="G65" s="55">
        <v>57.47</v>
      </c>
      <c r="H65" s="54">
        <f t="shared" si="11"/>
        <v>70.38</v>
      </c>
      <c r="I65" s="54">
        <f t="shared" si="12"/>
        <v>281.52</v>
      </c>
      <c r="J65" s="56">
        <f t="shared" si="10"/>
        <v>9.4375492838062708E-2</v>
      </c>
    </row>
    <row r="66" spans="1:10" ht="29.25" customHeight="1" x14ac:dyDescent="0.2">
      <c r="A66" s="47"/>
      <c r="B66" s="451" t="s">
        <v>1048</v>
      </c>
      <c r="C66" s="5" t="s">
        <v>166</v>
      </c>
      <c r="D66" s="58" t="s">
        <v>167</v>
      </c>
      <c r="E66" s="59" t="s">
        <v>22</v>
      </c>
      <c r="F66" s="60">
        <v>3</v>
      </c>
      <c r="G66" s="60">
        <v>60.2</v>
      </c>
      <c r="H66" s="54">
        <f t="shared" si="11"/>
        <v>73.72</v>
      </c>
      <c r="I66" s="54">
        <f t="shared" si="12"/>
        <v>221.16</v>
      </c>
      <c r="J66" s="56">
        <f t="shared" si="10"/>
        <v>7.4140679156244491E-2</v>
      </c>
    </row>
    <row r="67" spans="1:10" ht="30" customHeight="1" x14ac:dyDescent="0.2">
      <c r="A67" s="47"/>
      <c r="B67" s="451" t="s">
        <v>1049</v>
      </c>
      <c r="C67" s="63" t="s">
        <v>184</v>
      </c>
      <c r="D67" s="64" t="s">
        <v>185</v>
      </c>
      <c r="E67" s="325" t="s">
        <v>22</v>
      </c>
      <c r="F67" s="342">
        <v>1</v>
      </c>
      <c r="G67" s="342">
        <v>83.6</v>
      </c>
      <c r="H67" s="343">
        <f t="shared" si="11"/>
        <v>102.38</v>
      </c>
      <c r="I67" s="343">
        <f t="shared" si="12"/>
        <v>102.38</v>
      </c>
      <c r="J67" s="56">
        <f t="shared" si="10"/>
        <v>3.432140862731195E-2</v>
      </c>
    </row>
    <row r="68" spans="1:10" ht="30" customHeight="1" x14ac:dyDescent="0.2">
      <c r="A68" s="47"/>
      <c r="B68" s="451" t="s">
        <v>1050</v>
      </c>
      <c r="C68" s="5" t="s">
        <v>553</v>
      </c>
      <c r="D68" s="58" t="s">
        <v>955</v>
      </c>
      <c r="E68" s="59" t="s">
        <v>22</v>
      </c>
      <c r="F68" s="60">
        <v>1</v>
      </c>
      <c r="G68" s="60">
        <v>101.44200000000001</v>
      </c>
      <c r="H68" s="237">
        <f t="shared" si="11"/>
        <v>124.23</v>
      </c>
      <c r="I68" s="237">
        <f t="shared" si="12"/>
        <v>124.23</v>
      </c>
      <c r="J68" s="56">
        <f t="shared" si="10"/>
        <v>4.1646303904775972E-2</v>
      </c>
    </row>
    <row r="69" spans="1:10" ht="64.5" customHeight="1" x14ac:dyDescent="0.2">
      <c r="A69" s="47"/>
      <c r="B69" s="451" t="s">
        <v>1051</v>
      </c>
      <c r="C69" s="5" t="s">
        <v>169</v>
      </c>
      <c r="D69" s="58" t="s">
        <v>555</v>
      </c>
      <c r="E69" s="59" t="s">
        <v>22</v>
      </c>
      <c r="F69" s="60">
        <v>1</v>
      </c>
      <c r="G69" s="60">
        <v>380.74</v>
      </c>
      <c r="H69" s="237">
        <f t="shared" si="11"/>
        <v>466.29</v>
      </c>
      <c r="I69" s="237">
        <f t="shared" si="12"/>
        <v>466.29</v>
      </c>
      <c r="J69" s="56">
        <f t="shared" si="10"/>
        <v>0.15631695281138203</v>
      </c>
    </row>
    <row r="70" spans="1:10" ht="55.5" customHeight="1" x14ac:dyDescent="0.2">
      <c r="A70" s="47"/>
      <c r="B70" s="451" t="s">
        <v>1052</v>
      </c>
      <c r="C70" s="5" t="s">
        <v>171</v>
      </c>
      <c r="D70" s="58" t="s">
        <v>556</v>
      </c>
      <c r="E70" s="59" t="s">
        <v>22</v>
      </c>
      <c r="F70" s="60">
        <v>1</v>
      </c>
      <c r="G70" s="60">
        <v>680.69</v>
      </c>
      <c r="H70" s="237">
        <f t="shared" si="11"/>
        <v>833.64</v>
      </c>
      <c r="I70" s="237">
        <f t="shared" si="12"/>
        <v>833.64</v>
      </c>
      <c r="J70" s="56">
        <f t="shared" si="10"/>
        <v>0.27946570705286516</v>
      </c>
    </row>
    <row r="71" spans="1:10" ht="104.25" customHeight="1" x14ac:dyDescent="0.2">
      <c r="A71" s="47"/>
      <c r="B71" s="451" t="s">
        <v>1053</v>
      </c>
      <c r="C71" s="5" t="s">
        <v>190</v>
      </c>
      <c r="D71" s="58" t="s">
        <v>956</v>
      </c>
      <c r="E71" s="59" t="s">
        <v>22</v>
      </c>
      <c r="F71" s="60">
        <v>1</v>
      </c>
      <c r="G71" s="60">
        <v>974.33</v>
      </c>
      <c r="H71" s="237">
        <f t="shared" si="11"/>
        <v>1193.26</v>
      </c>
      <c r="I71" s="237">
        <f t="shared" si="12"/>
        <v>1193.26</v>
      </c>
      <c r="J71" s="56">
        <f t="shared" si="10"/>
        <v>0.4000230910199869</v>
      </c>
    </row>
    <row r="72" spans="1:10" ht="47.25" customHeight="1" x14ac:dyDescent="0.2">
      <c r="A72" s="47"/>
      <c r="B72" s="451" t="s">
        <v>1054</v>
      </c>
      <c r="C72" s="5" t="s">
        <v>566</v>
      </c>
      <c r="D72" s="58" t="s">
        <v>284</v>
      </c>
      <c r="E72" s="59" t="s">
        <v>22</v>
      </c>
      <c r="F72" s="60">
        <v>1</v>
      </c>
      <c r="G72" s="60">
        <v>86.539999999999992</v>
      </c>
      <c r="H72" s="237">
        <f t="shared" si="11"/>
        <v>105.98</v>
      </c>
      <c r="I72" s="237">
        <f t="shared" si="12"/>
        <v>105.98</v>
      </c>
      <c r="J72" s="56">
        <f t="shared" si="10"/>
        <v>3.5528256361814031E-2</v>
      </c>
    </row>
    <row r="73" spans="1:10" ht="80.25" customHeight="1" x14ac:dyDescent="0.2">
      <c r="A73" s="47"/>
      <c r="B73" s="451" t="s">
        <v>1055</v>
      </c>
      <c r="C73" s="5" t="s">
        <v>192</v>
      </c>
      <c r="D73" s="58" t="s">
        <v>567</v>
      </c>
      <c r="E73" s="59" t="s">
        <v>18</v>
      </c>
      <c r="F73" s="60">
        <v>140</v>
      </c>
      <c r="G73" s="60">
        <v>12.08</v>
      </c>
      <c r="H73" s="54">
        <f t="shared" si="11"/>
        <v>14.79</v>
      </c>
      <c r="I73" s="54">
        <f t="shared" si="12"/>
        <v>2070.6</v>
      </c>
      <c r="J73" s="56">
        <f t="shared" si="10"/>
        <v>0.69413858862778011</v>
      </c>
    </row>
    <row r="74" spans="1:10" ht="75" customHeight="1" x14ac:dyDescent="0.2">
      <c r="A74" s="47"/>
      <c r="B74" s="451" t="s">
        <v>1056</v>
      </c>
      <c r="C74" s="5" t="s">
        <v>195</v>
      </c>
      <c r="D74" s="58" t="s">
        <v>568</v>
      </c>
      <c r="E74" s="59" t="s">
        <v>18</v>
      </c>
      <c r="F74" s="60">
        <v>20</v>
      </c>
      <c r="G74" s="60">
        <v>8.58</v>
      </c>
      <c r="H74" s="54">
        <f t="shared" si="11"/>
        <v>10.5</v>
      </c>
      <c r="I74" s="54">
        <f t="shared" si="12"/>
        <v>210</v>
      </c>
      <c r="J74" s="56">
        <f t="shared" si="10"/>
        <v>7.0399451179288045E-2</v>
      </c>
    </row>
    <row r="75" spans="1:10" ht="75.75" customHeight="1" x14ac:dyDescent="0.2">
      <c r="A75" s="47"/>
      <c r="B75" s="451" t="s">
        <v>1057</v>
      </c>
      <c r="C75" s="5" t="s">
        <v>198</v>
      </c>
      <c r="D75" s="58" t="s">
        <v>569</v>
      </c>
      <c r="E75" s="59" t="s">
        <v>18</v>
      </c>
      <c r="F75" s="60">
        <v>6</v>
      </c>
      <c r="G75" s="60">
        <v>6.34</v>
      </c>
      <c r="H75" s="54">
        <f t="shared" si="11"/>
        <v>7.76</v>
      </c>
      <c r="I75" s="54">
        <f t="shared" si="12"/>
        <v>46.56</v>
      </c>
      <c r="J75" s="56">
        <f t="shared" si="10"/>
        <v>1.560856403289358E-2</v>
      </c>
    </row>
    <row r="76" spans="1:10" ht="67.5" customHeight="1" x14ac:dyDescent="0.2">
      <c r="A76" s="47"/>
      <c r="B76" s="451" t="s">
        <v>1058</v>
      </c>
      <c r="C76" s="5" t="s">
        <v>201</v>
      </c>
      <c r="D76" s="58" t="s">
        <v>570</v>
      </c>
      <c r="E76" s="59" t="s">
        <v>18</v>
      </c>
      <c r="F76" s="60">
        <v>6</v>
      </c>
      <c r="G76" s="60">
        <v>4.4800000000000004</v>
      </c>
      <c r="H76" s="54">
        <f t="shared" si="11"/>
        <v>5.48</v>
      </c>
      <c r="I76" s="54">
        <f t="shared" si="12"/>
        <v>32.880000000000003</v>
      </c>
      <c r="J76" s="56">
        <f t="shared" si="10"/>
        <v>1.1022542641785673E-2</v>
      </c>
    </row>
    <row r="77" spans="1:10" ht="74.25" customHeight="1" x14ac:dyDescent="0.2">
      <c r="A77" s="47"/>
      <c r="B77" s="451" t="s">
        <v>1059</v>
      </c>
      <c r="C77" s="5" t="s">
        <v>283</v>
      </c>
      <c r="D77" s="58" t="s">
        <v>571</v>
      </c>
      <c r="E77" s="59" t="s">
        <v>18</v>
      </c>
      <c r="F77" s="60">
        <v>30</v>
      </c>
      <c r="G77" s="55">
        <v>13.42</v>
      </c>
      <c r="H77" s="54">
        <f>TRUNC(G77*$J$14,2)</f>
        <v>16.43</v>
      </c>
      <c r="I77" s="54">
        <f>TRUNC(F77*H77,2)</f>
        <v>492.9</v>
      </c>
      <c r="J77" s="56">
        <f t="shared" si="10"/>
        <v>0.16523756898224323</v>
      </c>
    </row>
    <row r="78" spans="1:10" ht="27" customHeight="1" x14ac:dyDescent="0.2">
      <c r="A78" s="47"/>
      <c r="B78" s="451"/>
      <c r="C78" s="49"/>
      <c r="D78" s="320" t="s">
        <v>584</v>
      </c>
      <c r="E78" s="212"/>
      <c r="F78" s="319"/>
      <c r="G78" s="55"/>
      <c r="H78" s="54"/>
      <c r="I78" s="54"/>
      <c r="J78" s="56"/>
    </row>
    <row r="79" spans="1:10" ht="42.75" customHeight="1" x14ac:dyDescent="0.2">
      <c r="A79" s="47"/>
      <c r="B79" s="451" t="s">
        <v>1060</v>
      </c>
      <c r="C79" s="49" t="s">
        <v>572</v>
      </c>
      <c r="D79" s="50" t="s">
        <v>573</v>
      </c>
      <c r="E79" s="326" t="s">
        <v>22</v>
      </c>
      <c r="F79" s="319">
        <v>1</v>
      </c>
      <c r="G79" s="55">
        <v>7.06</v>
      </c>
      <c r="H79" s="54">
        <f>TRUNC(G79*$J$14,2)</f>
        <v>8.64</v>
      </c>
      <c r="I79" s="54">
        <f>TRUNC(F79*H79,2)</f>
        <v>8.64</v>
      </c>
      <c r="J79" s="56">
        <f>(I79/$I$233)*100</f>
        <v>2.8964345628049943E-3</v>
      </c>
    </row>
    <row r="80" spans="1:10" ht="41.25" customHeight="1" x14ac:dyDescent="0.2">
      <c r="A80" s="47"/>
      <c r="B80" s="451" t="s">
        <v>1061</v>
      </c>
      <c r="C80" s="49" t="s">
        <v>576</v>
      </c>
      <c r="D80" s="50" t="s">
        <v>577</v>
      </c>
      <c r="E80" s="326" t="s">
        <v>22</v>
      </c>
      <c r="F80" s="319">
        <v>1</v>
      </c>
      <c r="G80" s="55">
        <v>6.4</v>
      </c>
      <c r="H80" s="54">
        <f>TRUNC(G80*$J$14,2)</f>
        <v>7.83</v>
      </c>
      <c r="I80" s="54">
        <f>TRUNC(F80*H80,2)</f>
        <v>7.83</v>
      </c>
      <c r="J80" s="56">
        <f>(I80/$I$233)*100</f>
        <v>2.6248938225420259E-3</v>
      </c>
    </row>
    <row r="81" spans="1:11" ht="56.25" customHeight="1" x14ac:dyDescent="0.2">
      <c r="A81" s="47"/>
      <c r="B81" s="451" t="s">
        <v>1062</v>
      </c>
      <c r="C81" s="49" t="s">
        <v>580</v>
      </c>
      <c r="D81" s="50" t="s">
        <v>581</v>
      </c>
      <c r="E81" s="326" t="s">
        <v>18</v>
      </c>
      <c r="F81" s="319">
        <v>30</v>
      </c>
      <c r="G81" s="55">
        <v>4.03</v>
      </c>
      <c r="H81" s="54">
        <f>TRUNC(G81*$J$14,2)</f>
        <v>4.93</v>
      </c>
      <c r="I81" s="54">
        <f>TRUNC(F81*H81,2)</f>
        <v>147.9</v>
      </c>
      <c r="J81" s="56">
        <f>(I81/$I$233)*100</f>
        <v>4.9581327759127158E-2</v>
      </c>
    </row>
    <row r="82" spans="1:11" ht="15" customHeight="1" x14ac:dyDescent="0.2">
      <c r="A82" s="47"/>
      <c r="B82" s="452"/>
      <c r="C82" s="71"/>
      <c r="D82" s="72" t="s">
        <v>17</v>
      </c>
      <c r="E82" s="315"/>
      <c r="F82" s="293"/>
      <c r="G82" s="293"/>
      <c r="H82" s="293"/>
      <c r="I82" s="316">
        <f>SUM(I57:I81)</f>
        <v>30552.100000000006</v>
      </c>
      <c r="J82" s="235">
        <f>(I82/$I$233)*100</f>
        <v>10.242147963689174</v>
      </c>
    </row>
    <row r="83" spans="1:11" ht="18.75" x14ac:dyDescent="0.2">
      <c r="A83" s="47"/>
      <c r="B83" s="451" t="s">
        <v>206</v>
      </c>
      <c r="C83" s="322"/>
      <c r="D83" s="51" t="s">
        <v>214</v>
      </c>
      <c r="E83" s="326"/>
      <c r="F83" s="55"/>
      <c r="G83" s="55"/>
      <c r="H83" s="54"/>
      <c r="I83" s="54"/>
      <c r="J83" s="235"/>
    </row>
    <row r="84" spans="1:11" ht="18.75" x14ac:dyDescent="0.2">
      <c r="A84" s="47"/>
      <c r="B84" s="451"/>
      <c r="C84" s="322"/>
      <c r="D84" s="324" t="s">
        <v>208</v>
      </c>
      <c r="E84" s="326"/>
      <c r="F84" s="55"/>
      <c r="G84" s="55"/>
      <c r="H84" s="54"/>
      <c r="I84" s="54"/>
      <c r="J84" s="235"/>
    </row>
    <row r="85" spans="1:11" ht="70.5" customHeight="1" x14ac:dyDescent="0.2">
      <c r="A85" s="47"/>
      <c r="B85" s="451" t="s">
        <v>1063</v>
      </c>
      <c r="C85" s="49" t="s">
        <v>585</v>
      </c>
      <c r="D85" s="50" t="s">
        <v>590</v>
      </c>
      <c r="E85" s="326" t="s">
        <v>18</v>
      </c>
      <c r="F85" s="55">
        <v>39</v>
      </c>
      <c r="G85" s="55">
        <v>21.79</v>
      </c>
      <c r="H85" s="54">
        <f t="shared" ref="H85:H96" si="13">TRUNC(G85*$J$14,2)</f>
        <v>26.68</v>
      </c>
      <c r="I85" s="54">
        <f t="shared" ref="I85:I96" si="14">TRUNC(F85*H85,2)</f>
        <v>1040.52</v>
      </c>
      <c r="J85" s="56">
        <f t="shared" ref="J85:J97" si="15">(I85/$I$233)*100</f>
        <v>0.34881922352891809</v>
      </c>
    </row>
    <row r="86" spans="1:11" ht="60" x14ac:dyDescent="0.2">
      <c r="A86" s="47"/>
      <c r="B86" s="451" t="s">
        <v>1064</v>
      </c>
      <c r="C86" s="49" t="s">
        <v>586</v>
      </c>
      <c r="D86" s="50" t="s">
        <v>589</v>
      </c>
      <c r="E86" s="326" t="s">
        <v>18</v>
      </c>
      <c r="F86" s="55">
        <v>34</v>
      </c>
      <c r="G86" s="55">
        <v>19.5</v>
      </c>
      <c r="H86" s="54">
        <f t="shared" si="13"/>
        <v>23.88</v>
      </c>
      <c r="I86" s="54">
        <f t="shared" si="14"/>
        <v>811.92</v>
      </c>
      <c r="J86" s="56">
        <f t="shared" si="15"/>
        <v>0.27218439238803599</v>
      </c>
    </row>
    <row r="87" spans="1:11" ht="60" x14ac:dyDescent="0.2">
      <c r="A87" s="47"/>
      <c r="B87" s="451" t="s">
        <v>1065</v>
      </c>
      <c r="C87" s="49" t="s">
        <v>587</v>
      </c>
      <c r="D87" s="50" t="s">
        <v>591</v>
      </c>
      <c r="E87" s="326" t="s">
        <v>18</v>
      </c>
      <c r="F87" s="55">
        <v>8</v>
      </c>
      <c r="G87" s="55">
        <v>13.93</v>
      </c>
      <c r="H87" s="54">
        <f t="shared" si="13"/>
        <v>17.059999999999999</v>
      </c>
      <c r="I87" s="54">
        <f t="shared" si="14"/>
        <v>136.47999999999999</v>
      </c>
      <c r="J87" s="56">
        <f t="shared" si="15"/>
        <v>4.5752938556901102E-2</v>
      </c>
    </row>
    <row r="88" spans="1:11" ht="60" x14ac:dyDescent="0.2">
      <c r="A88" s="47"/>
      <c r="B88" s="451" t="s">
        <v>1066</v>
      </c>
      <c r="C88" s="49" t="s">
        <v>588</v>
      </c>
      <c r="D88" s="50" t="s">
        <v>592</v>
      </c>
      <c r="E88" s="326" t="s">
        <v>18</v>
      </c>
      <c r="F88" s="55">
        <v>30</v>
      </c>
      <c r="G88" s="55">
        <v>10.1</v>
      </c>
      <c r="H88" s="54">
        <f t="shared" si="13"/>
        <v>12.36</v>
      </c>
      <c r="I88" s="54">
        <f t="shared" si="14"/>
        <v>370.8</v>
      </c>
      <c r="J88" s="56">
        <f t="shared" si="15"/>
        <v>0.12430531665371433</v>
      </c>
    </row>
    <row r="89" spans="1:11" ht="57.75" customHeight="1" x14ac:dyDescent="0.2">
      <c r="A89" s="47"/>
      <c r="B89" s="451" t="s">
        <v>1067</v>
      </c>
      <c r="C89" s="49" t="s">
        <v>593</v>
      </c>
      <c r="D89" s="50" t="s">
        <v>957</v>
      </c>
      <c r="E89" s="326" t="s">
        <v>22</v>
      </c>
      <c r="F89" s="55">
        <v>6</v>
      </c>
      <c r="G89" s="55">
        <v>54.6</v>
      </c>
      <c r="H89" s="54">
        <f t="shared" si="13"/>
        <v>66.86</v>
      </c>
      <c r="I89" s="54">
        <f t="shared" si="14"/>
        <v>401.16</v>
      </c>
      <c r="J89" s="56">
        <f t="shared" si="15"/>
        <v>0.13448306588134856</v>
      </c>
    </row>
    <row r="90" spans="1:11" ht="54.75" customHeight="1" x14ac:dyDescent="0.2">
      <c r="A90" s="47"/>
      <c r="B90" s="451" t="s">
        <v>1068</v>
      </c>
      <c r="C90" s="49" t="s">
        <v>636</v>
      </c>
      <c r="D90" s="50" t="s">
        <v>637</v>
      </c>
      <c r="E90" s="326" t="s">
        <v>22</v>
      </c>
      <c r="F90" s="55">
        <v>1</v>
      </c>
      <c r="G90" s="55">
        <v>66.87</v>
      </c>
      <c r="H90" s="54">
        <f t="shared" si="13"/>
        <v>81.89</v>
      </c>
      <c r="I90" s="54">
        <f t="shared" si="14"/>
        <v>81.89</v>
      </c>
      <c r="J90" s="56">
        <f t="shared" si="15"/>
        <v>2.7452433605104277E-2</v>
      </c>
    </row>
    <row r="91" spans="1:11" ht="57" customHeight="1" x14ac:dyDescent="0.2">
      <c r="A91" s="47"/>
      <c r="B91" s="451" t="s">
        <v>1069</v>
      </c>
      <c r="C91" s="49" t="s">
        <v>231</v>
      </c>
      <c r="D91" s="50" t="s">
        <v>595</v>
      </c>
      <c r="E91" s="326" t="s">
        <v>22</v>
      </c>
      <c r="F91" s="55">
        <v>4</v>
      </c>
      <c r="G91" s="55">
        <v>23.82</v>
      </c>
      <c r="H91" s="54">
        <f t="shared" si="13"/>
        <v>29.17</v>
      </c>
      <c r="I91" s="54">
        <f t="shared" si="14"/>
        <v>116.68</v>
      </c>
      <c r="J91" s="56">
        <f t="shared" si="15"/>
        <v>3.9115276017139669E-2</v>
      </c>
    </row>
    <row r="92" spans="1:11" ht="39.75" customHeight="1" x14ac:dyDescent="0.2">
      <c r="A92" s="47"/>
      <c r="B92" s="451" t="s">
        <v>1070</v>
      </c>
      <c r="C92" s="49" t="s">
        <v>597</v>
      </c>
      <c r="D92" s="50" t="s">
        <v>958</v>
      </c>
      <c r="E92" s="326" t="s">
        <v>22</v>
      </c>
      <c r="F92" s="55">
        <v>7</v>
      </c>
      <c r="G92" s="55">
        <v>17.649999999999999</v>
      </c>
      <c r="H92" s="54">
        <f t="shared" si="13"/>
        <v>21.61</v>
      </c>
      <c r="I92" s="54">
        <f t="shared" si="14"/>
        <v>151.27000000000001</v>
      </c>
      <c r="J92" s="56">
        <f t="shared" si="15"/>
        <v>5.0711071332813829E-2</v>
      </c>
    </row>
    <row r="93" spans="1:11" ht="31.5" customHeight="1" x14ac:dyDescent="0.2">
      <c r="A93" s="47"/>
      <c r="B93" s="451" t="s">
        <v>1071</v>
      </c>
      <c r="C93" s="49" t="s">
        <v>232</v>
      </c>
      <c r="D93" s="50" t="s">
        <v>598</v>
      </c>
      <c r="E93" s="326" t="s">
        <v>22</v>
      </c>
      <c r="F93" s="55">
        <v>3</v>
      </c>
      <c r="G93" s="55">
        <v>11.75</v>
      </c>
      <c r="H93" s="54">
        <f t="shared" si="13"/>
        <v>14.39</v>
      </c>
      <c r="I93" s="54">
        <f t="shared" si="14"/>
        <v>43.17</v>
      </c>
      <c r="J93" s="56">
        <f t="shared" si="15"/>
        <v>1.4472115749570785E-2</v>
      </c>
    </row>
    <row r="94" spans="1:11" ht="43.5" customHeight="1" x14ac:dyDescent="0.2">
      <c r="A94" s="47"/>
      <c r="B94" s="451" t="s">
        <v>1072</v>
      </c>
      <c r="C94" s="49" t="s">
        <v>238</v>
      </c>
      <c r="D94" s="50" t="s">
        <v>239</v>
      </c>
      <c r="E94" s="326" t="s">
        <v>22</v>
      </c>
      <c r="F94" s="55">
        <v>1</v>
      </c>
      <c r="G94" s="55">
        <v>67.98</v>
      </c>
      <c r="H94" s="54">
        <f t="shared" si="13"/>
        <v>83.25</v>
      </c>
      <c r="I94" s="54">
        <f t="shared" si="14"/>
        <v>83.25</v>
      </c>
      <c r="J94" s="56">
        <f t="shared" si="15"/>
        <v>2.7908353860360616E-2</v>
      </c>
    </row>
    <row r="95" spans="1:11" ht="78.75" customHeight="1" x14ac:dyDescent="0.2">
      <c r="A95" s="47"/>
      <c r="B95" s="451" t="s">
        <v>1073</v>
      </c>
      <c r="C95" s="49" t="s">
        <v>286</v>
      </c>
      <c r="D95" s="50" t="s">
        <v>889</v>
      </c>
      <c r="E95" s="326" t="s">
        <v>22</v>
      </c>
      <c r="F95" s="55">
        <v>1</v>
      </c>
      <c r="G95" s="55">
        <v>919.06</v>
      </c>
      <c r="H95" s="54">
        <f t="shared" si="13"/>
        <v>1125.57</v>
      </c>
      <c r="I95" s="54">
        <f t="shared" si="14"/>
        <v>1125.57</v>
      </c>
      <c r="J95" s="56">
        <f t="shared" si="15"/>
        <v>0.37733100125652969</v>
      </c>
    </row>
    <row r="96" spans="1:11" ht="73.5" customHeight="1" x14ac:dyDescent="0.2">
      <c r="A96" s="47"/>
      <c r="B96" s="451" t="s">
        <v>1074</v>
      </c>
      <c r="C96" s="219" t="s">
        <v>298</v>
      </c>
      <c r="D96" s="294" t="s">
        <v>959</v>
      </c>
      <c r="E96" s="344" t="s">
        <v>22</v>
      </c>
      <c r="F96" s="55">
        <v>1</v>
      </c>
      <c r="G96" s="60">
        <v>79.27</v>
      </c>
      <c r="H96" s="237">
        <f t="shared" si="13"/>
        <v>97.08</v>
      </c>
      <c r="I96" s="54">
        <f t="shared" si="14"/>
        <v>97.08</v>
      </c>
      <c r="J96" s="56">
        <f t="shared" si="15"/>
        <v>3.2544660573739448E-2</v>
      </c>
      <c r="K96" s="52"/>
    </row>
    <row r="97" spans="1:12" ht="15" customHeight="1" x14ac:dyDescent="0.2">
      <c r="A97" s="47"/>
      <c r="B97" s="452"/>
      <c r="C97" s="71"/>
      <c r="D97" s="72" t="s">
        <v>17</v>
      </c>
      <c r="E97" s="315"/>
      <c r="F97" s="293"/>
      <c r="G97" s="293"/>
      <c r="H97" s="293"/>
      <c r="I97" s="316">
        <f>SUM(I85:I96)</f>
        <v>4459.79</v>
      </c>
      <c r="J97" s="235">
        <f t="shared" si="15"/>
        <v>1.4950798494041764</v>
      </c>
      <c r="K97" s="52"/>
    </row>
    <row r="98" spans="1:12" ht="24.75" customHeight="1" x14ac:dyDescent="0.2">
      <c r="A98" s="47"/>
      <c r="B98" s="451" t="s">
        <v>101</v>
      </c>
      <c r="C98" s="322"/>
      <c r="D98" s="51" t="s">
        <v>287</v>
      </c>
      <c r="E98" s="326"/>
      <c r="F98" s="55"/>
      <c r="G98" s="55"/>
      <c r="H98" s="54"/>
      <c r="I98" s="54"/>
      <c r="J98" s="235"/>
      <c r="K98" s="81"/>
      <c r="L98" s="52"/>
    </row>
    <row r="99" spans="1:12" ht="69.75" customHeight="1" x14ac:dyDescent="0.2">
      <c r="A99" s="47"/>
      <c r="B99" s="451" t="s">
        <v>1075</v>
      </c>
      <c r="C99" s="49" t="s">
        <v>599</v>
      </c>
      <c r="D99" s="50" t="s">
        <v>960</v>
      </c>
      <c r="E99" s="326" t="s">
        <v>18</v>
      </c>
      <c r="F99" s="55">
        <v>30</v>
      </c>
      <c r="G99" s="55">
        <v>17.2</v>
      </c>
      <c r="H99" s="237">
        <f t="shared" ref="H99:H125" si="16">TRUNC(G99*$J$14,2)</f>
        <v>21.06</v>
      </c>
      <c r="I99" s="54">
        <f t="shared" ref="I99:I125" si="17">TRUNC(F99*H99,2)</f>
        <v>631.79999999999995</v>
      </c>
      <c r="J99" s="56">
        <f t="shared" ref="J99:J126" si="18">(I99/$I$233)*100</f>
        <v>0.21180177740511516</v>
      </c>
      <c r="K99" s="81"/>
    </row>
    <row r="100" spans="1:12" ht="67.5" customHeight="1" x14ac:dyDescent="0.2">
      <c r="A100" s="47"/>
      <c r="B100" s="451" t="s">
        <v>1076</v>
      </c>
      <c r="C100" s="49" t="s">
        <v>600</v>
      </c>
      <c r="D100" s="50" t="s">
        <v>961</v>
      </c>
      <c r="E100" s="326" t="s">
        <v>18</v>
      </c>
      <c r="F100" s="55">
        <v>20</v>
      </c>
      <c r="G100" s="55">
        <v>11.77</v>
      </c>
      <c r="H100" s="237">
        <f t="shared" si="16"/>
        <v>14.41</v>
      </c>
      <c r="I100" s="54">
        <f t="shared" si="17"/>
        <v>288.2</v>
      </c>
      <c r="J100" s="56">
        <f t="shared" si="18"/>
        <v>9.661486585652769E-2</v>
      </c>
      <c r="K100" s="81"/>
    </row>
    <row r="101" spans="1:12" ht="68.25" customHeight="1" x14ac:dyDescent="0.2">
      <c r="A101" s="47"/>
      <c r="B101" s="451" t="s">
        <v>1077</v>
      </c>
      <c r="C101" s="49" t="s">
        <v>601</v>
      </c>
      <c r="D101" s="50" t="s">
        <v>962</v>
      </c>
      <c r="E101" s="326" t="s">
        <v>18</v>
      </c>
      <c r="F101" s="55">
        <v>73.099999999999994</v>
      </c>
      <c r="G101" s="55">
        <v>8.1</v>
      </c>
      <c r="H101" s="237">
        <f t="shared" si="16"/>
        <v>9.92</v>
      </c>
      <c r="I101" s="54">
        <f t="shared" si="17"/>
        <v>725.15</v>
      </c>
      <c r="J101" s="56">
        <f t="shared" si="18"/>
        <v>0.24309600963171776</v>
      </c>
      <c r="K101" s="81"/>
    </row>
    <row r="102" spans="1:12" ht="69" customHeight="1" x14ac:dyDescent="0.2">
      <c r="A102" s="47"/>
      <c r="B102" s="451" t="s">
        <v>1078</v>
      </c>
      <c r="C102" s="49" t="s">
        <v>602</v>
      </c>
      <c r="D102" s="50" t="s">
        <v>963</v>
      </c>
      <c r="E102" s="326" t="s">
        <v>18</v>
      </c>
      <c r="F102" s="55">
        <v>17.899999999999999</v>
      </c>
      <c r="G102" s="55">
        <v>7.41</v>
      </c>
      <c r="H102" s="237">
        <f t="shared" si="16"/>
        <v>9.07</v>
      </c>
      <c r="I102" s="54">
        <f t="shared" si="17"/>
        <v>162.35</v>
      </c>
      <c r="J102" s="56">
        <f t="shared" si="18"/>
        <v>5.4425480471225786E-2</v>
      </c>
      <c r="K102" s="81"/>
      <c r="L102" s="283"/>
    </row>
    <row r="103" spans="1:12" ht="49.5" customHeight="1" x14ac:dyDescent="0.2">
      <c r="A103" s="47"/>
      <c r="B103" s="451" t="s">
        <v>1079</v>
      </c>
      <c r="C103" s="49" t="s">
        <v>303</v>
      </c>
      <c r="D103" s="50" t="s">
        <v>964</v>
      </c>
      <c r="E103" s="326" t="s">
        <v>22</v>
      </c>
      <c r="F103" s="55">
        <v>4</v>
      </c>
      <c r="G103" s="55">
        <v>14.75</v>
      </c>
      <c r="H103" s="237">
        <f t="shared" si="16"/>
        <v>18.059999999999999</v>
      </c>
      <c r="I103" s="54">
        <f t="shared" si="17"/>
        <v>72.239999999999995</v>
      </c>
      <c r="J103" s="56">
        <f t="shared" si="18"/>
        <v>2.4217411205675086E-2</v>
      </c>
      <c r="K103" s="81"/>
    </row>
    <row r="104" spans="1:12" ht="45" customHeight="1" x14ac:dyDescent="0.2">
      <c r="A104" s="47"/>
      <c r="B104" s="451" t="s">
        <v>1080</v>
      </c>
      <c r="C104" s="49" t="s">
        <v>299</v>
      </c>
      <c r="D104" s="50" t="s">
        <v>301</v>
      </c>
      <c r="E104" s="326" t="s">
        <v>22</v>
      </c>
      <c r="F104" s="55">
        <v>2</v>
      </c>
      <c r="G104" s="55">
        <v>11.1</v>
      </c>
      <c r="H104" s="237">
        <f t="shared" si="16"/>
        <v>13.59</v>
      </c>
      <c r="I104" s="54">
        <f t="shared" si="17"/>
        <v>27.18</v>
      </c>
      <c r="J104" s="56">
        <f t="shared" si="18"/>
        <v>9.11170039549071E-3</v>
      </c>
      <c r="K104" s="81"/>
    </row>
    <row r="105" spans="1:12" ht="44.25" customHeight="1" x14ac:dyDescent="0.2">
      <c r="A105" s="47"/>
      <c r="B105" s="451" t="s">
        <v>1081</v>
      </c>
      <c r="C105" s="49" t="s">
        <v>300</v>
      </c>
      <c r="D105" s="50" t="s">
        <v>302</v>
      </c>
      <c r="E105" s="326" t="s">
        <v>22</v>
      </c>
      <c r="F105" s="55">
        <v>17</v>
      </c>
      <c r="G105" s="55">
        <v>8.52</v>
      </c>
      <c r="H105" s="237">
        <f t="shared" si="16"/>
        <v>10.43</v>
      </c>
      <c r="I105" s="54">
        <f t="shared" si="17"/>
        <v>177.31</v>
      </c>
      <c r="J105" s="56">
        <f t="shared" si="18"/>
        <v>5.9440603279045538E-2</v>
      </c>
      <c r="K105" s="81"/>
    </row>
    <row r="106" spans="1:12" ht="36" x14ac:dyDescent="0.2">
      <c r="A106" s="47"/>
      <c r="B106" s="451" t="s">
        <v>1082</v>
      </c>
      <c r="C106" s="5" t="s">
        <v>296</v>
      </c>
      <c r="D106" s="58" t="s">
        <v>291</v>
      </c>
      <c r="E106" s="59" t="s">
        <v>22</v>
      </c>
      <c r="F106" s="60">
        <v>10</v>
      </c>
      <c r="G106" s="60">
        <v>7.22</v>
      </c>
      <c r="H106" s="237">
        <f t="shared" si="16"/>
        <v>8.84</v>
      </c>
      <c r="I106" s="237">
        <f t="shared" si="17"/>
        <v>88.4</v>
      </c>
      <c r="J106" s="56">
        <f t="shared" si="18"/>
        <v>2.9634816591662207E-2</v>
      </c>
      <c r="K106" s="81"/>
    </row>
    <row r="107" spans="1:12" ht="40.5" customHeight="1" x14ac:dyDescent="0.2">
      <c r="A107" s="47"/>
      <c r="B107" s="451" t="s">
        <v>1083</v>
      </c>
      <c r="C107" s="5" t="s">
        <v>304</v>
      </c>
      <c r="D107" s="58" t="s">
        <v>305</v>
      </c>
      <c r="E107" s="59" t="s">
        <v>22</v>
      </c>
      <c r="F107" s="60">
        <v>15</v>
      </c>
      <c r="G107" s="60">
        <v>8.17</v>
      </c>
      <c r="H107" s="237">
        <f t="shared" si="16"/>
        <v>10</v>
      </c>
      <c r="I107" s="237">
        <f t="shared" si="17"/>
        <v>150</v>
      </c>
      <c r="J107" s="56">
        <f t="shared" si="18"/>
        <v>5.028532227092003E-2</v>
      </c>
      <c r="K107" s="81"/>
    </row>
    <row r="108" spans="1:12" ht="48" x14ac:dyDescent="0.2">
      <c r="A108" s="47"/>
      <c r="B108" s="451" t="s">
        <v>1084</v>
      </c>
      <c r="C108" s="5" t="s">
        <v>293</v>
      </c>
      <c r="D108" s="58" t="s">
        <v>294</v>
      </c>
      <c r="E108" s="59" t="s">
        <v>22</v>
      </c>
      <c r="F108" s="60">
        <v>2</v>
      </c>
      <c r="G108" s="60">
        <v>11.89</v>
      </c>
      <c r="H108" s="237">
        <f t="shared" si="16"/>
        <v>14.56</v>
      </c>
      <c r="I108" s="237">
        <f t="shared" si="17"/>
        <v>29.12</v>
      </c>
      <c r="J108" s="56">
        <f t="shared" si="18"/>
        <v>9.7620572301946092E-3</v>
      </c>
      <c r="K108" s="81"/>
    </row>
    <row r="109" spans="1:12" ht="39.75" customHeight="1" x14ac:dyDescent="0.2">
      <c r="A109" s="47"/>
      <c r="B109" s="451" t="s">
        <v>1085</v>
      </c>
      <c r="C109" s="49" t="s">
        <v>605</v>
      </c>
      <c r="D109" s="50" t="s">
        <v>965</v>
      </c>
      <c r="E109" s="59" t="s">
        <v>22</v>
      </c>
      <c r="F109" s="60">
        <v>2</v>
      </c>
      <c r="G109" s="60">
        <v>14.36</v>
      </c>
      <c r="H109" s="237">
        <f t="shared" si="16"/>
        <v>17.579999999999998</v>
      </c>
      <c r="I109" s="237">
        <f t="shared" si="17"/>
        <v>35.159999999999997</v>
      </c>
      <c r="J109" s="56">
        <f t="shared" si="18"/>
        <v>1.1786879540303654E-2</v>
      </c>
      <c r="K109" s="81"/>
    </row>
    <row r="110" spans="1:12" ht="42.75" customHeight="1" x14ac:dyDescent="0.2">
      <c r="A110" s="47"/>
      <c r="B110" s="451" t="s">
        <v>1086</v>
      </c>
      <c r="C110" s="49" t="s">
        <v>608</v>
      </c>
      <c r="D110" s="50" t="s">
        <v>966</v>
      </c>
      <c r="E110" s="326" t="s">
        <v>22</v>
      </c>
      <c r="F110" s="60">
        <v>11</v>
      </c>
      <c r="G110" s="60">
        <v>9.67</v>
      </c>
      <c r="H110" s="237">
        <f t="shared" si="16"/>
        <v>11.84</v>
      </c>
      <c r="I110" s="237">
        <f t="shared" si="17"/>
        <v>130.24</v>
      </c>
      <c r="J110" s="56">
        <f t="shared" si="18"/>
        <v>4.3661069150430838E-2</v>
      </c>
      <c r="K110" s="81"/>
    </row>
    <row r="111" spans="1:12" ht="46.5" customHeight="1" x14ac:dyDescent="0.2">
      <c r="A111" s="47"/>
      <c r="B111" s="451" t="s">
        <v>1087</v>
      </c>
      <c r="C111" s="49" t="s">
        <v>308</v>
      </c>
      <c r="D111" s="50" t="s">
        <v>967</v>
      </c>
      <c r="E111" s="326" t="s">
        <v>22</v>
      </c>
      <c r="F111" s="60">
        <v>1</v>
      </c>
      <c r="G111" s="60">
        <v>29.17</v>
      </c>
      <c r="H111" s="237">
        <f t="shared" si="16"/>
        <v>35.72</v>
      </c>
      <c r="I111" s="237">
        <f t="shared" si="17"/>
        <v>35.72</v>
      </c>
      <c r="J111" s="56">
        <f t="shared" si="18"/>
        <v>1.1974611410115091E-2</v>
      </c>
      <c r="K111" s="81"/>
    </row>
    <row r="112" spans="1:12" ht="42.75" customHeight="1" x14ac:dyDescent="0.2">
      <c r="A112" s="47"/>
      <c r="B112" s="451" t="s">
        <v>1088</v>
      </c>
      <c r="C112" s="49" t="s">
        <v>253</v>
      </c>
      <c r="D112" s="50" t="s">
        <v>254</v>
      </c>
      <c r="E112" s="326" t="s">
        <v>22</v>
      </c>
      <c r="F112" s="55">
        <v>3</v>
      </c>
      <c r="G112" s="55">
        <v>17.010000000000002</v>
      </c>
      <c r="H112" s="237">
        <f t="shared" si="16"/>
        <v>20.83</v>
      </c>
      <c r="I112" s="54">
        <f t="shared" si="17"/>
        <v>62.49</v>
      </c>
      <c r="J112" s="56">
        <f t="shared" si="18"/>
        <v>2.0948865258065288E-2</v>
      </c>
      <c r="K112" s="81"/>
    </row>
    <row r="113" spans="1:11" ht="45" customHeight="1" x14ac:dyDescent="0.2">
      <c r="A113" s="47"/>
      <c r="B113" s="451" t="s">
        <v>1089</v>
      </c>
      <c r="C113" s="5" t="s">
        <v>307</v>
      </c>
      <c r="D113" s="58" t="s">
        <v>888</v>
      </c>
      <c r="E113" s="59" t="s">
        <v>22</v>
      </c>
      <c r="F113" s="60">
        <v>7</v>
      </c>
      <c r="G113" s="60">
        <v>10.93</v>
      </c>
      <c r="H113" s="237">
        <f t="shared" si="16"/>
        <v>13.38</v>
      </c>
      <c r="I113" s="237">
        <f t="shared" si="17"/>
        <v>93.66</v>
      </c>
      <c r="J113" s="56">
        <f t="shared" si="18"/>
        <v>3.1398155225962468E-2</v>
      </c>
      <c r="K113" s="81"/>
    </row>
    <row r="114" spans="1:11" ht="36" customHeight="1" x14ac:dyDescent="0.2">
      <c r="A114" s="47"/>
      <c r="B114" s="451" t="s">
        <v>1090</v>
      </c>
      <c r="C114" s="63" t="s">
        <v>610</v>
      </c>
      <c r="D114" s="64" t="s">
        <v>312</v>
      </c>
      <c r="E114" s="325" t="s">
        <v>22</v>
      </c>
      <c r="F114" s="284">
        <v>1</v>
      </c>
      <c r="G114" s="284">
        <v>7.87</v>
      </c>
      <c r="H114" s="345">
        <f t="shared" si="16"/>
        <v>9.6300000000000008</v>
      </c>
      <c r="I114" s="345">
        <f t="shared" si="17"/>
        <v>9.6300000000000008</v>
      </c>
      <c r="J114" s="56">
        <f t="shared" si="18"/>
        <v>3.2283176897930665E-3</v>
      </c>
      <c r="K114" s="81"/>
    </row>
    <row r="115" spans="1:11" ht="38.25" customHeight="1" x14ac:dyDescent="0.2">
      <c r="B115" s="451" t="s">
        <v>1091</v>
      </c>
      <c r="C115" s="63" t="s">
        <v>310</v>
      </c>
      <c r="D115" s="64" t="s">
        <v>968</v>
      </c>
      <c r="E115" s="325" t="s">
        <v>22</v>
      </c>
      <c r="F115" s="285">
        <v>3</v>
      </c>
      <c r="G115" s="285">
        <v>5.7595999999999998</v>
      </c>
      <c r="H115" s="285">
        <f t="shared" si="16"/>
        <v>7.05</v>
      </c>
      <c r="I115" s="285">
        <f t="shared" si="17"/>
        <v>21.15</v>
      </c>
      <c r="J115" s="56">
        <f t="shared" si="18"/>
        <v>7.0902304401997242E-3</v>
      </c>
    </row>
    <row r="116" spans="1:11" ht="35.25" customHeight="1" x14ac:dyDescent="0.2">
      <c r="B116" s="451" t="s">
        <v>1092</v>
      </c>
      <c r="C116" s="5" t="s">
        <v>611</v>
      </c>
      <c r="D116" s="58" t="s">
        <v>313</v>
      </c>
      <c r="E116" s="59" t="s">
        <v>22</v>
      </c>
      <c r="F116" s="80">
        <v>9</v>
      </c>
      <c r="G116" s="80">
        <v>4.9695999999999998</v>
      </c>
      <c r="H116" s="80">
        <f t="shared" si="16"/>
        <v>6.08</v>
      </c>
      <c r="I116" s="80">
        <f t="shared" si="17"/>
        <v>54.72</v>
      </c>
      <c r="J116" s="56">
        <f t="shared" si="18"/>
        <v>1.8344085564431626E-2</v>
      </c>
    </row>
    <row r="117" spans="1:11" ht="45" customHeight="1" x14ac:dyDescent="0.2">
      <c r="B117" s="451" t="s">
        <v>1093</v>
      </c>
      <c r="C117" s="5" t="s">
        <v>318</v>
      </c>
      <c r="D117" s="58" t="s">
        <v>969</v>
      </c>
      <c r="E117" s="59" t="s">
        <v>22</v>
      </c>
      <c r="F117" s="60">
        <v>6</v>
      </c>
      <c r="G117" s="60">
        <v>10.71</v>
      </c>
      <c r="H117" s="80">
        <f t="shared" si="16"/>
        <v>13.11</v>
      </c>
      <c r="I117" s="80">
        <f t="shared" si="17"/>
        <v>78.66</v>
      </c>
      <c r="J117" s="56">
        <f t="shared" si="18"/>
        <v>2.6369622998870461E-2</v>
      </c>
    </row>
    <row r="118" spans="1:11" ht="43.5" customHeight="1" x14ac:dyDescent="0.2">
      <c r="B118" s="451" t="s">
        <v>1094</v>
      </c>
      <c r="C118" s="5" t="s">
        <v>315</v>
      </c>
      <c r="D118" s="58" t="s">
        <v>316</v>
      </c>
      <c r="E118" s="59" t="s">
        <v>22</v>
      </c>
      <c r="F118" s="80">
        <v>2</v>
      </c>
      <c r="G118" s="80">
        <v>9.86</v>
      </c>
      <c r="H118" s="80">
        <f t="shared" si="16"/>
        <v>12.07</v>
      </c>
      <c r="I118" s="80">
        <f t="shared" si="17"/>
        <v>24.14</v>
      </c>
      <c r="J118" s="56">
        <f t="shared" si="18"/>
        <v>8.0925845308000635E-3</v>
      </c>
    </row>
    <row r="119" spans="1:11" ht="69" customHeight="1" x14ac:dyDescent="0.2">
      <c r="B119" s="451" t="s">
        <v>1095</v>
      </c>
      <c r="C119" s="5" t="s">
        <v>288</v>
      </c>
      <c r="D119" s="58" t="s">
        <v>256</v>
      </c>
      <c r="E119" s="59" t="s">
        <v>22</v>
      </c>
      <c r="F119" s="80">
        <v>1</v>
      </c>
      <c r="G119" s="80">
        <v>42.99</v>
      </c>
      <c r="H119" s="80">
        <f t="shared" si="16"/>
        <v>52.64</v>
      </c>
      <c r="I119" s="80">
        <f t="shared" si="17"/>
        <v>52.64</v>
      </c>
      <c r="J119" s="56">
        <f t="shared" si="18"/>
        <v>1.7646795762274872E-2</v>
      </c>
    </row>
    <row r="120" spans="1:11" ht="72" customHeight="1" x14ac:dyDescent="0.2">
      <c r="B120" s="451" t="s">
        <v>1096</v>
      </c>
      <c r="C120" s="5" t="s">
        <v>259</v>
      </c>
      <c r="D120" s="58" t="s">
        <v>260</v>
      </c>
      <c r="E120" s="59" t="s">
        <v>22</v>
      </c>
      <c r="F120" s="80">
        <v>2</v>
      </c>
      <c r="G120" s="80">
        <v>10.31</v>
      </c>
      <c r="H120" s="80">
        <f t="shared" si="16"/>
        <v>12.62</v>
      </c>
      <c r="I120" s="80">
        <f t="shared" si="17"/>
        <v>25.24</v>
      </c>
      <c r="J120" s="56">
        <f t="shared" si="18"/>
        <v>8.4613435607868107E-3</v>
      </c>
    </row>
    <row r="121" spans="1:11" ht="62.25" customHeight="1" x14ac:dyDescent="0.2">
      <c r="B121" s="451" t="s">
        <v>1097</v>
      </c>
      <c r="C121" s="5" t="s">
        <v>273</v>
      </c>
      <c r="D121" s="58" t="s">
        <v>274</v>
      </c>
      <c r="E121" s="59" t="s">
        <v>22</v>
      </c>
      <c r="F121" s="80">
        <v>15</v>
      </c>
      <c r="G121" s="80">
        <v>6.2</v>
      </c>
      <c r="H121" s="80">
        <f t="shared" si="16"/>
        <v>7.59</v>
      </c>
      <c r="I121" s="80">
        <f t="shared" si="17"/>
        <v>113.85</v>
      </c>
      <c r="J121" s="56">
        <f t="shared" si="18"/>
        <v>3.8166559603628303E-2</v>
      </c>
    </row>
    <row r="122" spans="1:11" ht="57.75" customHeight="1" x14ac:dyDescent="0.2">
      <c r="B122" s="451" t="s">
        <v>1098</v>
      </c>
      <c r="C122" s="5" t="s">
        <v>262</v>
      </c>
      <c r="D122" s="58" t="s">
        <v>263</v>
      </c>
      <c r="E122" s="59" t="s">
        <v>22</v>
      </c>
      <c r="F122" s="346">
        <v>1</v>
      </c>
      <c r="G122" s="80">
        <v>103.99</v>
      </c>
      <c r="H122" s="80">
        <f t="shared" si="16"/>
        <v>127.35</v>
      </c>
      <c r="I122" s="80">
        <f t="shared" si="17"/>
        <v>127.35</v>
      </c>
      <c r="J122" s="56">
        <f t="shared" si="18"/>
        <v>4.2692238608011107E-2</v>
      </c>
    </row>
    <row r="123" spans="1:11" ht="43.5" customHeight="1" x14ac:dyDescent="0.2">
      <c r="B123" s="451" t="s">
        <v>1099</v>
      </c>
      <c r="C123" s="5" t="s">
        <v>276</v>
      </c>
      <c r="D123" s="58" t="s">
        <v>277</v>
      </c>
      <c r="E123" s="59" t="s">
        <v>22</v>
      </c>
      <c r="F123" s="80">
        <v>6</v>
      </c>
      <c r="G123" s="80">
        <v>72.08</v>
      </c>
      <c r="H123" s="80">
        <f t="shared" si="16"/>
        <v>88.27</v>
      </c>
      <c r="I123" s="80">
        <f t="shared" si="17"/>
        <v>529.62</v>
      </c>
      <c r="J123" s="56">
        <f t="shared" si="18"/>
        <v>0.17754741587416445</v>
      </c>
    </row>
    <row r="124" spans="1:11" ht="43.5" customHeight="1" x14ac:dyDescent="0.2">
      <c r="B124" s="451" t="s">
        <v>1100</v>
      </c>
      <c r="C124" s="5" t="s">
        <v>279</v>
      </c>
      <c r="D124" s="58" t="s">
        <v>280</v>
      </c>
      <c r="E124" s="59" t="s">
        <v>22</v>
      </c>
      <c r="F124" s="80">
        <v>2</v>
      </c>
      <c r="G124" s="80">
        <v>68.73</v>
      </c>
      <c r="H124" s="80">
        <f t="shared" si="16"/>
        <v>84.17</v>
      </c>
      <c r="I124" s="80">
        <f t="shared" si="17"/>
        <v>168.34</v>
      </c>
      <c r="J124" s="56">
        <f t="shared" si="18"/>
        <v>5.6433541007244521E-2</v>
      </c>
    </row>
    <row r="125" spans="1:11" ht="54.75" customHeight="1" x14ac:dyDescent="0.2">
      <c r="B125" s="451" t="s">
        <v>1101</v>
      </c>
      <c r="C125" s="5" t="s">
        <v>375</v>
      </c>
      <c r="D125" s="58" t="s">
        <v>612</v>
      </c>
      <c r="E125" s="59" t="s">
        <v>18</v>
      </c>
      <c r="F125" s="80">
        <v>141</v>
      </c>
      <c r="G125" s="80">
        <v>19.05</v>
      </c>
      <c r="H125" s="80">
        <f t="shared" si="16"/>
        <v>23.33</v>
      </c>
      <c r="I125" s="80">
        <f t="shared" si="17"/>
        <v>3289.53</v>
      </c>
      <c r="J125" s="56">
        <f t="shared" si="18"/>
        <v>1.1027671744657306</v>
      </c>
    </row>
    <row r="126" spans="1:11" ht="15" customHeight="1" x14ac:dyDescent="0.2">
      <c r="A126" s="47"/>
      <c r="B126" s="452"/>
      <c r="C126" s="71"/>
      <c r="D126" s="72" t="s">
        <v>17</v>
      </c>
      <c r="E126" s="315"/>
      <c r="F126" s="293"/>
      <c r="G126" s="293"/>
      <c r="H126" s="293"/>
      <c r="I126" s="316">
        <f>SUM(I99:I125)</f>
        <v>7203.8899999999985</v>
      </c>
      <c r="J126" s="235">
        <f t="shared" si="18"/>
        <v>2.4149995350283868</v>
      </c>
      <c r="K126" s="81"/>
    </row>
    <row r="127" spans="1:11" ht="33" customHeight="1" x14ac:dyDescent="0.2">
      <c r="A127" s="47"/>
      <c r="B127" s="452" t="s">
        <v>102</v>
      </c>
      <c r="C127" s="71"/>
      <c r="D127" s="48" t="s">
        <v>993</v>
      </c>
      <c r="E127" s="315"/>
      <c r="F127" s="293"/>
      <c r="G127" s="293"/>
      <c r="H127" s="293"/>
      <c r="I127" s="316"/>
      <c r="J127" s="235"/>
      <c r="K127" s="81"/>
    </row>
    <row r="128" spans="1:11" ht="28.5" customHeight="1" x14ac:dyDescent="0.2">
      <c r="A128" s="47"/>
      <c r="B128" s="452" t="s">
        <v>1102</v>
      </c>
      <c r="C128" s="5" t="s">
        <v>995</v>
      </c>
      <c r="D128" s="58" t="s">
        <v>1010</v>
      </c>
      <c r="E128" s="61" t="s">
        <v>19</v>
      </c>
      <c r="F128" s="60">
        <v>0.28000000000000003</v>
      </c>
      <c r="G128" s="60">
        <v>132.80000000000001</v>
      </c>
      <c r="H128" s="80">
        <f t="shared" ref="H128:H131" si="19">TRUNC(G128*$J$14,2)</f>
        <v>162.63999999999999</v>
      </c>
      <c r="I128" s="80">
        <f t="shared" ref="I128:I131" si="20">TRUNC(F128*H128,2)</f>
        <v>45.53</v>
      </c>
      <c r="J128" s="56">
        <f>(I128/$I$233)*100</f>
        <v>1.5263271486633262E-2</v>
      </c>
      <c r="K128" s="81"/>
    </row>
    <row r="129" spans="1:11" ht="21" customHeight="1" x14ac:dyDescent="0.2">
      <c r="A129" s="47"/>
      <c r="B129" s="452" t="s">
        <v>1103</v>
      </c>
      <c r="C129" s="5" t="s">
        <v>997</v>
      </c>
      <c r="D129" s="58" t="s">
        <v>1011</v>
      </c>
      <c r="E129" s="61" t="s">
        <v>19</v>
      </c>
      <c r="F129" s="60">
        <v>0.87</v>
      </c>
      <c r="G129" s="60">
        <v>52.84</v>
      </c>
      <c r="H129" s="80">
        <f t="shared" si="19"/>
        <v>64.709999999999994</v>
      </c>
      <c r="I129" s="80">
        <f t="shared" si="20"/>
        <v>56.29</v>
      </c>
      <c r="J129" s="56">
        <f>(I129/$I$233)*100</f>
        <v>1.8870405270867256E-2</v>
      </c>
      <c r="K129" s="81"/>
    </row>
    <row r="130" spans="1:11" ht="49.5" customHeight="1" x14ac:dyDescent="0.2">
      <c r="A130" s="47"/>
      <c r="B130" s="452" t="s">
        <v>1104</v>
      </c>
      <c r="C130" s="5" t="s">
        <v>999</v>
      </c>
      <c r="D130" s="58" t="s">
        <v>1012</v>
      </c>
      <c r="E130" s="61" t="s">
        <v>19</v>
      </c>
      <c r="F130" s="60">
        <v>0.25</v>
      </c>
      <c r="G130" s="60">
        <v>411.39</v>
      </c>
      <c r="H130" s="80">
        <f t="shared" si="19"/>
        <v>503.82</v>
      </c>
      <c r="I130" s="80">
        <f t="shared" si="20"/>
        <v>125.95</v>
      </c>
      <c r="J130" s="56">
        <f>(I130/$I$233)*100</f>
        <v>4.2222908933482524E-2</v>
      </c>
      <c r="K130" s="81"/>
    </row>
    <row r="131" spans="1:11" ht="22.5" customHeight="1" x14ac:dyDescent="0.2">
      <c r="A131" s="47"/>
      <c r="B131" s="452" t="s">
        <v>1105</v>
      </c>
      <c r="C131" s="5" t="s">
        <v>1008</v>
      </c>
      <c r="D131" s="58" t="s">
        <v>1013</v>
      </c>
      <c r="E131" s="61" t="s">
        <v>19</v>
      </c>
      <c r="F131" s="60">
        <v>0.47</v>
      </c>
      <c r="G131" s="60">
        <v>32.630000000000003</v>
      </c>
      <c r="H131" s="80">
        <f t="shared" si="19"/>
        <v>39.96</v>
      </c>
      <c r="I131" s="80">
        <f t="shared" si="20"/>
        <v>18.78</v>
      </c>
      <c r="J131" s="56">
        <f>(I131/$I$233)*100</f>
        <v>6.2957223483191887E-3</v>
      </c>
      <c r="K131" s="81"/>
    </row>
    <row r="132" spans="1:11" ht="15" customHeight="1" x14ac:dyDescent="0.2">
      <c r="A132" s="47"/>
      <c r="B132" s="452"/>
      <c r="C132" s="71"/>
      <c r="D132" s="72" t="s">
        <v>17</v>
      </c>
      <c r="E132" s="315"/>
      <c r="F132" s="293"/>
      <c r="G132" s="293"/>
      <c r="H132" s="293"/>
      <c r="I132" s="316">
        <f>SUM(I128:I131)</f>
        <v>246.54999999999998</v>
      </c>
      <c r="J132" s="235">
        <f>(I132/$I$233)*100</f>
        <v>8.2652308039302222E-2</v>
      </c>
      <c r="K132" s="81"/>
    </row>
    <row r="133" spans="1:11" ht="20.25" customHeight="1" x14ac:dyDescent="0.2">
      <c r="A133" s="47"/>
      <c r="B133" s="452" t="s">
        <v>107</v>
      </c>
      <c r="C133" s="71"/>
      <c r="D133" s="48" t="s">
        <v>923</v>
      </c>
      <c r="E133" s="315"/>
      <c r="F133" s="293"/>
      <c r="G133" s="293"/>
      <c r="H133" s="293"/>
      <c r="I133" s="316"/>
      <c r="J133" s="235"/>
      <c r="K133" s="81"/>
    </row>
    <row r="134" spans="1:11" ht="53.25" customHeight="1" x14ac:dyDescent="0.2">
      <c r="A134" s="47"/>
      <c r="B134" s="452" t="s">
        <v>1106</v>
      </c>
      <c r="C134" s="5" t="s">
        <v>924</v>
      </c>
      <c r="D134" s="58" t="s">
        <v>925</v>
      </c>
      <c r="E134" s="59" t="s">
        <v>22</v>
      </c>
      <c r="F134" s="354">
        <v>4</v>
      </c>
      <c r="G134" s="354">
        <v>133.99</v>
      </c>
      <c r="H134" s="80">
        <f t="shared" ref="H134:H137" si="21">TRUNC(G134*$J$14,2)</f>
        <v>164.09</v>
      </c>
      <c r="I134" s="80">
        <f t="shared" ref="I134:I137" si="22">TRUNC(F134*H134,2)</f>
        <v>656.36</v>
      </c>
      <c r="J134" s="56">
        <f>(I134/$I$233)*100</f>
        <v>0.22003516083827385</v>
      </c>
      <c r="K134" s="81"/>
    </row>
    <row r="135" spans="1:11" ht="66" customHeight="1" x14ac:dyDescent="0.2">
      <c r="A135" s="47"/>
      <c r="B135" s="452" t="s">
        <v>1107</v>
      </c>
      <c r="C135" s="5" t="s">
        <v>928</v>
      </c>
      <c r="D135" s="58" t="s">
        <v>929</v>
      </c>
      <c r="E135" s="59" t="s">
        <v>22</v>
      </c>
      <c r="F135" s="354">
        <v>4</v>
      </c>
      <c r="G135" s="354">
        <v>110.89</v>
      </c>
      <c r="H135" s="80">
        <f t="shared" si="21"/>
        <v>135.80000000000001</v>
      </c>
      <c r="I135" s="80">
        <f t="shared" si="22"/>
        <v>543.20000000000005</v>
      </c>
      <c r="J135" s="56">
        <f>(I135/$I$233)*100</f>
        <v>0.18209991371709178</v>
      </c>
      <c r="K135" s="81"/>
    </row>
    <row r="136" spans="1:11" ht="70.5" customHeight="1" x14ac:dyDescent="0.2">
      <c r="A136" s="47"/>
      <c r="B136" s="452" t="s">
        <v>1108</v>
      </c>
      <c r="C136" s="5" t="s">
        <v>933</v>
      </c>
      <c r="D136" s="58" t="s">
        <v>934</v>
      </c>
      <c r="E136" s="59" t="s">
        <v>22</v>
      </c>
      <c r="F136" s="60">
        <v>6</v>
      </c>
      <c r="G136" s="60">
        <v>32.65</v>
      </c>
      <c r="H136" s="80">
        <f t="shared" si="21"/>
        <v>39.979999999999997</v>
      </c>
      <c r="I136" s="80">
        <f t="shared" si="22"/>
        <v>239.88</v>
      </c>
      <c r="J136" s="56">
        <f>(I136/$I$233)*100</f>
        <v>8.0416287375655315E-2</v>
      </c>
      <c r="K136" s="81"/>
    </row>
    <row r="137" spans="1:11" ht="23.25" customHeight="1" x14ac:dyDescent="0.2">
      <c r="A137" s="47"/>
      <c r="B137" s="452" t="s">
        <v>1109</v>
      </c>
      <c r="C137" s="5" t="s">
        <v>932</v>
      </c>
      <c r="D137" s="58" t="s">
        <v>937</v>
      </c>
      <c r="E137" s="59" t="s">
        <v>22</v>
      </c>
      <c r="F137" s="60">
        <v>22</v>
      </c>
      <c r="G137" s="60">
        <v>10.77</v>
      </c>
      <c r="H137" s="80">
        <f t="shared" si="21"/>
        <v>13.19</v>
      </c>
      <c r="I137" s="80">
        <f t="shared" si="22"/>
        <v>290.18</v>
      </c>
      <c r="J137" s="56">
        <f>(I137/$I$233)*100</f>
        <v>9.7278632110503846E-2</v>
      </c>
      <c r="K137" s="81"/>
    </row>
    <row r="138" spans="1:11" ht="15" customHeight="1" x14ac:dyDescent="0.2">
      <c r="A138" s="47"/>
      <c r="B138" s="452"/>
      <c r="C138" s="71"/>
      <c r="D138" s="72" t="s">
        <v>17</v>
      </c>
      <c r="E138" s="315"/>
      <c r="F138" s="293"/>
      <c r="G138" s="293"/>
      <c r="H138" s="293"/>
      <c r="I138" s="316">
        <f>SUM(I134:I137)</f>
        <v>1729.6200000000001</v>
      </c>
      <c r="J138" s="235">
        <f>(I138/$I$233)*100</f>
        <v>0.57982999404152469</v>
      </c>
      <c r="K138" s="81"/>
    </row>
    <row r="139" spans="1:11" ht="18" customHeight="1" x14ac:dyDescent="0.2">
      <c r="A139" s="47"/>
      <c r="B139" s="452" t="s">
        <v>108</v>
      </c>
      <c r="C139" s="71"/>
      <c r="D139" s="48" t="s">
        <v>151</v>
      </c>
      <c r="E139" s="278"/>
      <c r="F139" s="48"/>
      <c r="G139" s="48"/>
      <c r="H139" s="291"/>
      <c r="I139" s="292"/>
      <c r="J139" s="235"/>
    </row>
    <row r="140" spans="1:11" ht="72.75" customHeight="1" x14ac:dyDescent="0.2">
      <c r="A140" s="47"/>
      <c r="B140" s="452" t="s">
        <v>1110</v>
      </c>
      <c r="C140" s="62" t="s">
        <v>627</v>
      </c>
      <c r="D140" s="260" t="s">
        <v>970</v>
      </c>
      <c r="E140" s="75" t="s">
        <v>22</v>
      </c>
      <c r="F140" s="60">
        <v>1</v>
      </c>
      <c r="G140" s="60">
        <v>405.11</v>
      </c>
      <c r="H140" s="80">
        <f t="shared" ref="H140:H148" si="23">TRUNC(G140*$J$14,2)</f>
        <v>496.13</v>
      </c>
      <c r="I140" s="80">
        <f t="shared" ref="I140:I148" si="24">TRUNC(F140*H140,2)</f>
        <v>496.13</v>
      </c>
      <c r="J140" s="56">
        <f>(I140/$I$233)*100</f>
        <v>0.16632037958847704</v>
      </c>
    </row>
    <row r="141" spans="1:11" ht="62.25" customHeight="1" x14ac:dyDescent="0.2">
      <c r="A141" s="47"/>
      <c r="B141" s="452" t="s">
        <v>1111</v>
      </c>
      <c r="C141" s="62" t="s">
        <v>627</v>
      </c>
      <c r="D141" s="260" t="s">
        <v>971</v>
      </c>
      <c r="E141" s="75" t="s">
        <v>22</v>
      </c>
      <c r="F141" s="60">
        <v>1</v>
      </c>
      <c r="G141" s="60">
        <v>392.53</v>
      </c>
      <c r="H141" s="80">
        <f t="shared" si="23"/>
        <v>480.73</v>
      </c>
      <c r="I141" s="80">
        <f t="shared" si="24"/>
        <v>480.73</v>
      </c>
      <c r="J141" s="56">
        <f>(I141/$I$233)*100</f>
        <v>0.16115775316866257</v>
      </c>
    </row>
    <row r="142" spans="1:11" ht="63.75" customHeight="1" x14ac:dyDescent="0.2">
      <c r="A142" s="47"/>
      <c r="B142" s="452" t="s">
        <v>1112</v>
      </c>
      <c r="C142" s="62" t="s">
        <v>638</v>
      </c>
      <c r="D142" s="260" t="s">
        <v>639</v>
      </c>
      <c r="E142" s="75" t="s">
        <v>22</v>
      </c>
      <c r="F142" s="60">
        <v>1</v>
      </c>
      <c r="G142" s="60">
        <v>327.85</v>
      </c>
      <c r="H142" s="80">
        <f t="shared" si="23"/>
        <v>401.51</v>
      </c>
      <c r="I142" s="80">
        <f t="shared" si="24"/>
        <v>401.51</v>
      </c>
      <c r="J142" s="56">
        <f>(I142/$I$233)*100</f>
        <v>0.13460039829998069</v>
      </c>
    </row>
    <row r="143" spans="1:11" ht="60.75" customHeight="1" x14ac:dyDescent="0.2">
      <c r="A143" s="47"/>
      <c r="B143" s="452" t="s">
        <v>1113</v>
      </c>
      <c r="C143" s="62" t="s">
        <v>640</v>
      </c>
      <c r="D143" s="260" t="s">
        <v>972</v>
      </c>
      <c r="E143" s="75" t="s">
        <v>22</v>
      </c>
      <c r="F143" s="60">
        <v>1</v>
      </c>
      <c r="G143" s="60">
        <v>271.43</v>
      </c>
      <c r="H143" s="80">
        <f t="shared" si="23"/>
        <v>332.42</v>
      </c>
      <c r="I143" s="80">
        <f t="shared" si="24"/>
        <v>332.42</v>
      </c>
      <c r="J143" s="56">
        <f>(I143/$I$233)*100</f>
        <v>0.11143897886199491</v>
      </c>
    </row>
    <row r="144" spans="1:11" ht="10.5" customHeight="1" x14ac:dyDescent="0.2">
      <c r="A144" s="47"/>
      <c r="B144" s="454"/>
      <c r="C144" s="69"/>
      <c r="D144" s="321"/>
      <c r="E144" s="40"/>
      <c r="F144" s="284"/>
      <c r="G144" s="284"/>
      <c r="H144" s="285"/>
      <c r="I144" s="285"/>
      <c r="J144" s="56"/>
    </row>
    <row r="145" spans="1:10" ht="69.75" customHeight="1" x14ac:dyDescent="0.2">
      <c r="A145" s="47"/>
      <c r="B145" s="452" t="s">
        <v>1114</v>
      </c>
      <c r="C145" s="62" t="s">
        <v>1609</v>
      </c>
      <c r="D145" s="260" t="s">
        <v>649</v>
      </c>
      <c r="E145" s="75" t="s">
        <v>22</v>
      </c>
      <c r="F145" s="60">
        <v>1</v>
      </c>
      <c r="G145" s="60">
        <v>2130.15</v>
      </c>
      <c r="H145" s="80">
        <f t="shared" si="23"/>
        <v>2608.79</v>
      </c>
      <c r="I145" s="80">
        <f t="shared" si="24"/>
        <v>2608.79</v>
      </c>
      <c r="J145" s="56">
        <f>(I145/$I$233)*100</f>
        <v>0.87455897258102311</v>
      </c>
    </row>
    <row r="146" spans="1:10" ht="69.75" customHeight="1" x14ac:dyDescent="0.2">
      <c r="A146" s="47"/>
      <c r="B146" s="452" t="s">
        <v>1115</v>
      </c>
      <c r="C146" s="62" t="s">
        <v>1609</v>
      </c>
      <c r="D146" s="260" t="s">
        <v>650</v>
      </c>
      <c r="E146" s="75" t="s">
        <v>22</v>
      </c>
      <c r="F146" s="60">
        <v>1</v>
      </c>
      <c r="G146" s="292">
        <v>2103.5</v>
      </c>
      <c r="H146" s="80">
        <f t="shared" si="23"/>
        <v>2576.15</v>
      </c>
      <c r="I146" s="80">
        <f t="shared" si="24"/>
        <v>2576.15</v>
      </c>
      <c r="J146" s="56">
        <f>(I146/$I$233)*100</f>
        <v>0.863616886454871</v>
      </c>
    </row>
    <row r="147" spans="1:10" ht="69.75" customHeight="1" x14ac:dyDescent="0.2">
      <c r="A147" s="47"/>
      <c r="B147" s="452" t="s">
        <v>1116</v>
      </c>
      <c r="C147" s="62" t="s">
        <v>1609</v>
      </c>
      <c r="D147" s="260" t="s">
        <v>651</v>
      </c>
      <c r="E147" s="75" t="s">
        <v>22</v>
      </c>
      <c r="F147" s="60">
        <v>2</v>
      </c>
      <c r="G147" s="60">
        <v>2619.44</v>
      </c>
      <c r="H147" s="80">
        <f t="shared" si="23"/>
        <v>3208.02</v>
      </c>
      <c r="I147" s="80">
        <f t="shared" si="24"/>
        <v>6416.04</v>
      </c>
      <c r="J147" s="56">
        <f>(I147/$I$233)*100</f>
        <v>2.1508842606874254</v>
      </c>
    </row>
    <row r="148" spans="1:10" ht="69.75" customHeight="1" x14ac:dyDescent="0.2">
      <c r="A148" s="47"/>
      <c r="B148" s="452" t="s">
        <v>1117</v>
      </c>
      <c r="C148" s="62" t="s">
        <v>1609</v>
      </c>
      <c r="D148" s="260" t="s">
        <v>652</v>
      </c>
      <c r="E148" s="75" t="s">
        <v>22</v>
      </c>
      <c r="F148" s="60">
        <v>1</v>
      </c>
      <c r="G148" s="60">
        <v>3798.71</v>
      </c>
      <c r="H148" s="80">
        <f t="shared" si="23"/>
        <v>4652.28</v>
      </c>
      <c r="I148" s="80">
        <f t="shared" si="24"/>
        <v>4652.28</v>
      </c>
      <c r="J148" s="56">
        <f>(I148/$I$233)*100</f>
        <v>1.559609327297039</v>
      </c>
    </row>
    <row r="149" spans="1:10" ht="61.5" customHeight="1" x14ac:dyDescent="0.2">
      <c r="A149" s="47"/>
      <c r="B149" s="452" t="s">
        <v>1118</v>
      </c>
      <c r="C149" s="62" t="s">
        <v>640</v>
      </c>
      <c r="D149" s="260" t="s">
        <v>973</v>
      </c>
      <c r="E149" s="75" t="s">
        <v>22</v>
      </c>
      <c r="F149" s="60">
        <v>5</v>
      </c>
      <c r="G149" s="60">
        <v>271.43</v>
      </c>
      <c r="H149" s="80">
        <f t="shared" ref="H149:H153" si="25">TRUNC(G149*$J$14,2)</f>
        <v>332.42</v>
      </c>
      <c r="I149" s="80">
        <f t="shared" ref="I149:I153" si="26">TRUNC(F149*H149,2)</f>
        <v>1662.1</v>
      </c>
      <c r="J149" s="56">
        <f>(I149/$I$233)*100</f>
        <v>0.55719489430997449</v>
      </c>
    </row>
    <row r="150" spans="1:10" ht="11.25" customHeight="1" x14ac:dyDescent="0.2">
      <c r="A150" s="47"/>
      <c r="B150" s="452"/>
      <c r="C150" s="5"/>
      <c r="D150" s="58"/>
      <c r="E150" s="314"/>
      <c r="F150" s="58"/>
      <c r="G150" s="58"/>
      <c r="H150" s="291"/>
      <c r="I150" s="292"/>
      <c r="J150" s="56"/>
    </row>
    <row r="151" spans="1:10" ht="94.5" customHeight="1" x14ac:dyDescent="0.2">
      <c r="A151" s="47"/>
      <c r="B151" s="452" t="s">
        <v>1119</v>
      </c>
      <c r="C151" s="62" t="s">
        <v>653</v>
      </c>
      <c r="D151" s="260" t="s">
        <v>974</v>
      </c>
      <c r="E151" s="75" t="s">
        <v>22</v>
      </c>
      <c r="F151" s="60">
        <v>5</v>
      </c>
      <c r="G151" s="60">
        <v>427.69</v>
      </c>
      <c r="H151" s="80">
        <f t="shared" si="25"/>
        <v>523.79</v>
      </c>
      <c r="I151" s="80">
        <f t="shared" si="26"/>
        <v>2618.9499999999998</v>
      </c>
      <c r="J151" s="56">
        <f>(I151/$I$233)*100</f>
        <v>0.8779649650761735</v>
      </c>
    </row>
    <row r="152" spans="1:10" ht="62.25" customHeight="1" x14ac:dyDescent="0.2">
      <c r="A152" s="47"/>
      <c r="B152" s="452" t="s">
        <v>1120</v>
      </c>
      <c r="C152" s="260" t="s">
        <v>640</v>
      </c>
      <c r="D152" s="260" t="s">
        <v>976</v>
      </c>
      <c r="E152" s="75" t="s">
        <v>22</v>
      </c>
      <c r="F152" s="60">
        <v>5</v>
      </c>
      <c r="G152" s="60">
        <v>228.61</v>
      </c>
      <c r="H152" s="237">
        <f>TRUNC(G152*$J$14,2)</f>
        <v>279.97000000000003</v>
      </c>
      <c r="I152" s="80">
        <f>TRUNC(F152*H152,2)</f>
        <v>1399.85</v>
      </c>
      <c r="J152" s="56">
        <f>(I152/$I$233)*100</f>
        <v>0.46927938920631601</v>
      </c>
    </row>
    <row r="153" spans="1:10" ht="95.25" customHeight="1" x14ac:dyDescent="0.2">
      <c r="A153" s="47"/>
      <c r="B153" s="452" t="s">
        <v>1121</v>
      </c>
      <c r="C153" s="62" t="s">
        <v>893</v>
      </c>
      <c r="D153" s="260" t="s">
        <v>975</v>
      </c>
      <c r="E153" s="75" t="s">
        <v>22</v>
      </c>
      <c r="F153" s="60">
        <v>3</v>
      </c>
      <c r="G153" s="60">
        <v>131.47</v>
      </c>
      <c r="H153" s="237">
        <f t="shared" si="25"/>
        <v>161.01</v>
      </c>
      <c r="I153" s="80">
        <f t="shared" si="26"/>
        <v>483.03</v>
      </c>
      <c r="J153" s="56">
        <f>(I153/$I$233)*100</f>
        <v>0.16192879477681668</v>
      </c>
    </row>
    <row r="154" spans="1:10" ht="8.25" customHeight="1" x14ac:dyDescent="0.2">
      <c r="B154" s="449"/>
    </row>
    <row r="155" spans="1:10" ht="57" customHeight="1" x14ac:dyDescent="0.2">
      <c r="A155" s="47"/>
      <c r="B155" s="452" t="s">
        <v>1122</v>
      </c>
      <c r="C155" s="5" t="s">
        <v>695</v>
      </c>
      <c r="D155" s="58" t="s">
        <v>697</v>
      </c>
      <c r="E155" s="59" t="s">
        <v>22</v>
      </c>
      <c r="F155" s="60">
        <v>2</v>
      </c>
      <c r="G155" s="60">
        <v>477.82</v>
      </c>
      <c r="H155" s="80">
        <f t="shared" ref="H155:H169" si="27">TRUNC(G155*$J$14,2)</f>
        <v>585.17999999999995</v>
      </c>
      <c r="I155" s="80">
        <f t="shared" ref="I155:I169" si="28">TRUNC(F155*H155,2)</f>
        <v>1170.3599999999999</v>
      </c>
      <c r="J155" s="372">
        <f>(I155/$I$233)*100</f>
        <v>0.39234619848662644</v>
      </c>
    </row>
    <row r="156" spans="1:10" ht="51.75" customHeight="1" x14ac:dyDescent="0.2">
      <c r="A156" s="47"/>
      <c r="B156" s="452" t="s">
        <v>1123</v>
      </c>
      <c r="C156" s="5" t="s">
        <v>696</v>
      </c>
      <c r="D156" s="58" t="s">
        <v>698</v>
      </c>
      <c r="E156" s="59" t="s">
        <v>22</v>
      </c>
      <c r="F156" s="60">
        <v>2</v>
      </c>
      <c r="G156" s="60">
        <v>66.38</v>
      </c>
      <c r="H156" s="80">
        <f t="shared" si="27"/>
        <v>81.290000000000006</v>
      </c>
      <c r="I156" s="80">
        <f t="shared" si="28"/>
        <v>162.58000000000001</v>
      </c>
      <c r="J156" s="56">
        <f>(I156/$I$233)*100</f>
        <v>5.4502584632041197E-2</v>
      </c>
    </row>
    <row r="157" spans="1:10" ht="75" customHeight="1" x14ac:dyDescent="0.2">
      <c r="A157" s="47"/>
      <c r="B157" s="452" t="s">
        <v>1124</v>
      </c>
      <c r="C157" s="5" t="s">
        <v>1626</v>
      </c>
      <c r="D157" s="58" t="s">
        <v>977</v>
      </c>
      <c r="E157" s="59" t="s">
        <v>22</v>
      </c>
      <c r="F157" s="60">
        <v>3</v>
      </c>
      <c r="G157" s="60">
        <v>1079.8699999999999</v>
      </c>
      <c r="H157" s="80">
        <f t="shared" si="27"/>
        <v>1322.51</v>
      </c>
      <c r="I157" s="80">
        <f t="shared" si="28"/>
        <v>3967.53</v>
      </c>
      <c r="J157" s="56">
        <f>(I157/$I$233)*100</f>
        <v>1.3300568311302892</v>
      </c>
    </row>
    <row r="158" spans="1:10" ht="69.75" customHeight="1" x14ac:dyDescent="0.2">
      <c r="A158" s="47"/>
      <c r="B158" s="452" t="s">
        <v>1125</v>
      </c>
      <c r="C158" s="63" t="s">
        <v>701</v>
      </c>
      <c r="D158" s="64" t="s">
        <v>702</v>
      </c>
      <c r="E158" s="325" t="s">
        <v>22</v>
      </c>
      <c r="F158" s="284">
        <v>9</v>
      </c>
      <c r="G158" s="284">
        <v>129.32</v>
      </c>
      <c r="H158" s="285">
        <f t="shared" si="27"/>
        <v>158.37</v>
      </c>
      <c r="I158" s="285">
        <f t="shared" si="28"/>
        <v>1425.33</v>
      </c>
      <c r="J158" s="56">
        <f>(I158/$I$233)*100</f>
        <v>0.47782118928273631</v>
      </c>
    </row>
    <row r="159" spans="1:10" ht="75" customHeight="1" x14ac:dyDescent="0.2">
      <c r="A159" s="47"/>
      <c r="B159" s="452" t="s">
        <v>1126</v>
      </c>
      <c r="C159" s="5" t="s">
        <v>674</v>
      </c>
      <c r="D159" s="58" t="s">
        <v>675</v>
      </c>
      <c r="E159" s="59" t="s">
        <v>22</v>
      </c>
      <c r="F159" s="60">
        <v>6</v>
      </c>
      <c r="G159" s="60">
        <v>107.77</v>
      </c>
      <c r="H159" s="80">
        <f t="shared" ref="H159" si="29">TRUNC(G159*$J$14,2)</f>
        <v>131.97999999999999</v>
      </c>
      <c r="I159" s="80">
        <f t="shared" ref="I159" si="30">TRUNC(F159*H159,2)</f>
        <v>791.88</v>
      </c>
      <c r="J159" s="56">
        <f>(I159/$I$233)*100</f>
        <v>0.26546627333264106</v>
      </c>
    </row>
    <row r="160" spans="1:10" ht="9" customHeight="1" x14ac:dyDescent="0.2">
      <c r="A160" s="47"/>
      <c r="B160" s="454"/>
      <c r="C160" s="63"/>
      <c r="D160" s="64"/>
      <c r="E160" s="327"/>
      <c r="F160" s="284"/>
      <c r="G160" s="284"/>
      <c r="H160" s="285"/>
      <c r="I160" s="285"/>
      <c r="J160" s="56"/>
    </row>
    <row r="161" spans="1:11" ht="58.5" customHeight="1" x14ac:dyDescent="0.2">
      <c r="A161" s="47"/>
      <c r="B161" s="452" t="s">
        <v>1127</v>
      </c>
      <c r="C161" s="79" t="s">
        <v>705</v>
      </c>
      <c r="D161" s="260" t="s">
        <v>722</v>
      </c>
      <c r="E161" s="75" t="s">
        <v>22</v>
      </c>
      <c r="F161" s="60">
        <v>5</v>
      </c>
      <c r="G161" s="60">
        <v>178.91</v>
      </c>
      <c r="H161" s="80">
        <f t="shared" si="27"/>
        <v>219.11</v>
      </c>
      <c r="I161" s="80">
        <f t="shared" si="28"/>
        <v>1095.55</v>
      </c>
      <c r="J161" s="56">
        <f t="shared" ref="J161:J170" si="31">(I161/$I$233)*100</f>
        <v>0.36726723209270962</v>
      </c>
    </row>
    <row r="162" spans="1:11" ht="32.25" customHeight="1" x14ac:dyDescent="0.2">
      <c r="A162" s="47"/>
      <c r="B162" s="452" t="s">
        <v>1128</v>
      </c>
      <c r="C162" s="79" t="s">
        <v>739</v>
      </c>
      <c r="D162" s="260" t="s">
        <v>740</v>
      </c>
      <c r="E162" s="75" t="s">
        <v>22</v>
      </c>
      <c r="F162" s="60">
        <v>2</v>
      </c>
      <c r="G162" s="60">
        <v>75.23</v>
      </c>
      <c r="H162" s="80">
        <f t="shared" si="27"/>
        <v>92.13</v>
      </c>
      <c r="I162" s="80">
        <f t="shared" si="28"/>
        <v>184.26</v>
      </c>
      <c r="J162" s="56">
        <f t="shared" si="31"/>
        <v>6.1770489877598166E-2</v>
      </c>
    </row>
    <row r="163" spans="1:11" ht="30.75" customHeight="1" x14ac:dyDescent="0.2">
      <c r="A163" s="47"/>
      <c r="B163" s="452" t="s">
        <v>1129</v>
      </c>
      <c r="C163" s="79" t="s">
        <v>723</v>
      </c>
      <c r="D163" s="260" t="s">
        <v>724</v>
      </c>
      <c r="E163" s="75" t="s">
        <v>22</v>
      </c>
      <c r="F163" s="60">
        <v>5</v>
      </c>
      <c r="G163" s="60">
        <v>40.18</v>
      </c>
      <c r="H163" s="80">
        <f t="shared" si="27"/>
        <v>49.2</v>
      </c>
      <c r="I163" s="80">
        <f t="shared" si="28"/>
        <v>246</v>
      </c>
      <c r="J163" s="56">
        <f t="shared" si="31"/>
        <v>8.2467928524308856E-2</v>
      </c>
    </row>
    <row r="164" spans="1:11" ht="41.25" customHeight="1" x14ac:dyDescent="0.2">
      <c r="A164" s="47"/>
      <c r="B164" s="452" t="s">
        <v>1130</v>
      </c>
      <c r="C164" s="79" t="s">
        <v>880</v>
      </c>
      <c r="D164" s="260" t="s">
        <v>881</v>
      </c>
      <c r="E164" s="75" t="s">
        <v>22</v>
      </c>
      <c r="F164" s="292">
        <v>5</v>
      </c>
      <c r="G164" s="292">
        <v>37.19</v>
      </c>
      <c r="H164" s="80">
        <f t="shared" si="27"/>
        <v>45.54</v>
      </c>
      <c r="I164" s="80">
        <f t="shared" si="28"/>
        <v>227.7</v>
      </c>
      <c r="J164" s="56">
        <f t="shared" si="31"/>
        <v>7.6333119207256606E-2</v>
      </c>
    </row>
    <row r="165" spans="1:11" ht="34.5" customHeight="1" x14ac:dyDescent="0.2">
      <c r="A165" s="47"/>
      <c r="B165" s="452" t="s">
        <v>1131</v>
      </c>
      <c r="C165" s="79" t="s">
        <v>726</v>
      </c>
      <c r="D165" s="260" t="s">
        <v>727</v>
      </c>
      <c r="E165" s="75" t="s">
        <v>22</v>
      </c>
      <c r="F165" s="60">
        <v>5</v>
      </c>
      <c r="G165" s="60">
        <v>51.76</v>
      </c>
      <c r="H165" s="80">
        <f t="shared" si="27"/>
        <v>63.39</v>
      </c>
      <c r="I165" s="80">
        <f t="shared" si="28"/>
        <v>316.95</v>
      </c>
      <c r="J165" s="56">
        <f t="shared" si="31"/>
        <v>0.10625288595845403</v>
      </c>
    </row>
    <row r="166" spans="1:11" ht="44.25" customHeight="1" x14ac:dyDescent="0.2">
      <c r="A166" s="47"/>
      <c r="B166" s="452" t="s">
        <v>1132</v>
      </c>
      <c r="C166" s="79" t="s">
        <v>729</v>
      </c>
      <c r="D166" s="260" t="s">
        <v>730</v>
      </c>
      <c r="E166" s="75" t="s">
        <v>22</v>
      </c>
      <c r="F166" s="60">
        <v>5</v>
      </c>
      <c r="G166" s="60">
        <v>47.68</v>
      </c>
      <c r="H166" s="80">
        <f t="shared" si="27"/>
        <v>58.39</v>
      </c>
      <c r="I166" s="80">
        <f t="shared" si="28"/>
        <v>291.95</v>
      </c>
      <c r="J166" s="56">
        <f t="shared" si="31"/>
        <v>9.7871998913300687E-2</v>
      </c>
    </row>
    <row r="167" spans="1:11" ht="30.75" customHeight="1" x14ac:dyDescent="0.2">
      <c r="A167" s="47"/>
      <c r="B167" s="452" t="s">
        <v>1133</v>
      </c>
      <c r="C167" s="79" t="s">
        <v>732</v>
      </c>
      <c r="D167" s="260" t="s">
        <v>733</v>
      </c>
      <c r="E167" s="75" t="s">
        <v>16</v>
      </c>
      <c r="F167" s="60">
        <v>2.4</v>
      </c>
      <c r="G167" s="60">
        <v>375.8</v>
      </c>
      <c r="H167" s="80">
        <f t="shared" si="27"/>
        <v>460.24</v>
      </c>
      <c r="I167" s="80">
        <f t="shared" si="28"/>
        <v>1104.57</v>
      </c>
      <c r="J167" s="56">
        <f t="shared" si="31"/>
        <v>0.37029105613860092</v>
      </c>
    </row>
    <row r="168" spans="1:11" ht="34.5" customHeight="1" x14ac:dyDescent="0.2">
      <c r="A168" s="47"/>
      <c r="B168" s="452" t="s">
        <v>1134</v>
      </c>
      <c r="C168" s="79" t="s">
        <v>51</v>
      </c>
      <c r="D168" s="347" t="s">
        <v>886</v>
      </c>
      <c r="E168" s="348" t="s">
        <v>16</v>
      </c>
      <c r="F168" s="60">
        <v>3.04</v>
      </c>
      <c r="G168" s="60">
        <v>180</v>
      </c>
      <c r="H168" s="80">
        <f t="shared" si="27"/>
        <v>220.44</v>
      </c>
      <c r="I168" s="80">
        <f t="shared" si="28"/>
        <v>670.13</v>
      </c>
      <c r="J168" s="56">
        <f t="shared" si="31"/>
        <v>0.22465135342274425</v>
      </c>
    </row>
    <row r="169" spans="1:11" ht="34.5" customHeight="1" x14ac:dyDescent="0.2">
      <c r="A169" s="47"/>
      <c r="B169" s="452" t="s">
        <v>1135</v>
      </c>
      <c r="C169" s="79" t="s">
        <v>51</v>
      </c>
      <c r="D169" s="347" t="s">
        <v>887</v>
      </c>
      <c r="E169" s="348" t="s">
        <v>16</v>
      </c>
      <c r="F169" s="60">
        <v>3.06</v>
      </c>
      <c r="G169" s="60">
        <v>180</v>
      </c>
      <c r="H169" s="80">
        <f t="shared" si="27"/>
        <v>220.44</v>
      </c>
      <c r="I169" s="80">
        <f t="shared" si="28"/>
        <v>674.54</v>
      </c>
      <c r="J169" s="56">
        <f t="shared" si="31"/>
        <v>0.22612974189750931</v>
      </c>
    </row>
    <row r="170" spans="1:11" ht="15" customHeight="1" x14ac:dyDescent="0.2">
      <c r="A170" s="47"/>
      <c r="B170" s="452"/>
      <c r="C170" s="71"/>
      <c r="D170" s="72" t="s">
        <v>17</v>
      </c>
      <c r="E170" s="315"/>
      <c r="F170" s="293"/>
      <c r="G170" s="293"/>
      <c r="H170" s="293"/>
      <c r="I170" s="316">
        <f>SUM(I140:I169)</f>
        <v>36457.30999999999</v>
      </c>
      <c r="J170" s="235">
        <f t="shared" si="31"/>
        <v>12.221783883205568</v>
      </c>
      <c r="K170" s="81"/>
    </row>
    <row r="171" spans="1:11" ht="18.75" customHeight="1" x14ac:dyDescent="0.2">
      <c r="B171" s="450" t="s">
        <v>109</v>
      </c>
      <c r="C171" s="5"/>
      <c r="D171" s="210" t="s">
        <v>663</v>
      </c>
      <c r="E171" s="279"/>
      <c r="F171" s="210"/>
      <c r="G171" s="210"/>
      <c r="H171" s="210"/>
      <c r="I171" s="292"/>
      <c r="J171" s="235"/>
    </row>
    <row r="172" spans="1:11" ht="15" customHeight="1" x14ac:dyDescent="0.2">
      <c r="B172" s="450"/>
      <c r="C172" s="5"/>
      <c r="D172" s="286" t="s">
        <v>606</v>
      </c>
      <c r="E172" s="279"/>
      <c r="F172" s="210"/>
      <c r="G172" s="210"/>
      <c r="H172" s="210"/>
      <c r="I172" s="292"/>
      <c r="J172" s="235"/>
    </row>
    <row r="173" spans="1:11" ht="23.25" customHeight="1" x14ac:dyDescent="0.2">
      <c r="B173" s="450"/>
      <c r="C173" s="5"/>
      <c r="D173" s="46" t="s">
        <v>680</v>
      </c>
      <c r="E173" s="279"/>
      <c r="F173" s="210"/>
      <c r="G173" s="210"/>
      <c r="H173" s="210"/>
      <c r="I173" s="292"/>
      <c r="J173" s="235"/>
    </row>
    <row r="174" spans="1:11" ht="66" customHeight="1" x14ac:dyDescent="0.2">
      <c r="B174" s="450" t="s">
        <v>1136</v>
      </c>
      <c r="C174" s="5" t="s">
        <v>664</v>
      </c>
      <c r="D174" s="58" t="s">
        <v>678</v>
      </c>
      <c r="E174" s="338" t="s">
        <v>16</v>
      </c>
      <c r="F174" s="349">
        <v>21.84</v>
      </c>
      <c r="G174" s="349">
        <v>468.14</v>
      </c>
      <c r="H174" s="80">
        <f t="shared" ref="H174:H177" si="32">TRUNC(G174*$J$14,2)</f>
        <v>573.33000000000004</v>
      </c>
      <c r="I174" s="80">
        <f t="shared" ref="I174:I177" si="33">TRUNC(F174*H174,2)</f>
        <v>12521.52</v>
      </c>
      <c r="J174" s="56">
        <f>(I174/$I$233)*100</f>
        <v>4.1976577901451373</v>
      </c>
    </row>
    <row r="175" spans="1:11" ht="59.25" customHeight="1" x14ac:dyDescent="0.2">
      <c r="B175" s="450" t="s">
        <v>1137</v>
      </c>
      <c r="C175" s="5" t="s">
        <v>664</v>
      </c>
      <c r="D175" s="58" t="s">
        <v>679</v>
      </c>
      <c r="E175" s="338" t="s">
        <v>16</v>
      </c>
      <c r="F175" s="349">
        <v>22.68</v>
      </c>
      <c r="G175" s="349">
        <v>468.14</v>
      </c>
      <c r="H175" s="80">
        <f t="shared" si="32"/>
        <v>573.33000000000004</v>
      </c>
      <c r="I175" s="80">
        <f t="shared" si="33"/>
        <v>13003.12</v>
      </c>
      <c r="J175" s="56">
        <f>(I175/$I$233)*100</f>
        <v>4.3591071981829721</v>
      </c>
    </row>
    <row r="176" spans="1:11" ht="99.75" customHeight="1" x14ac:dyDescent="0.2">
      <c r="B176" s="450" t="s">
        <v>1138</v>
      </c>
      <c r="C176" s="5" t="s">
        <v>673</v>
      </c>
      <c r="D176" s="58" t="s">
        <v>978</v>
      </c>
      <c r="E176" s="338" t="s">
        <v>22</v>
      </c>
      <c r="F176" s="349">
        <v>25</v>
      </c>
      <c r="G176" s="349">
        <v>225.14</v>
      </c>
      <c r="H176" s="80">
        <f t="shared" si="32"/>
        <v>275.72000000000003</v>
      </c>
      <c r="I176" s="80">
        <f t="shared" si="33"/>
        <v>6893</v>
      </c>
      <c r="J176" s="56">
        <f>(I176/$I$233)*100</f>
        <v>2.3107781760896788</v>
      </c>
    </row>
    <row r="177" spans="1:11" ht="70.5" customHeight="1" x14ac:dyDescent="0.2">
      <c r="B177" s="450" t="s">
        <v>1139</v>
      </c>
      <c r="C177" s="5" t="s">
        <v>674</v>
      </c>
      <c r="D177" s="58" t="s">
        <v>675</v>
      </c>
      <c r="E177" s="338" t="s">
        <v>22</v>
      </c>
      <c r="F177" s="349">
        <v>3</v>
      </c>
      <c r="G177" s="349">
        <v>107.77</v>
      </c>
      <c r="H177" s="80">
        <f t="shared" si="32"/>
        <v>131.97999999999999</v>
      </c>
      <c r="I177" s="80">
        <f t="shared" si="33"/>
        <v>395.94</v>
      </c>
      <c r="J177" s="56">
        <f>(I177/$I$233)*100</f>
        <v>0.13273313666632053</v>
      </c>
    </row>
    <row r="178" spans="1:11" ht="21.75" customHeight="1" x14ac:dyDescent="0.2">
      <c r="B178" s="450"/>
      <c r="C178" s="5"/>
      <c r="D178" s="46" t="s">
        <v>681</v>
      </c>
      <c r="E178" s="288"/>
      <c r="F178" s="289"/>
      <c r="G178" s="289"/>
      <c r="H178" s="289"/>
      <c r="I178" s="80"/>
      <c r="J178" s="235"/>
    </row>
    <row r="179" spans="1:11" ht="54" customHeight="1" x14ac:dyDescent="0.2">
      <c r="B179" s="450" t="s">
        <v>1140</v>
      </c>
      <c r="C179" s="5" t="s">
        <v>664</v>
      </c>
      <c r="D179" s="58" t="s">
        <v>682</v>
      </c>
      <c r="E179" s="338" t="s">
        <v>16</v>
      </c>
      <c r="F179" s="349">
        <v>2.52</v>
      </c>
      <c r="G179" s="349">
        <v>468.14</v>
      </c>
      <c r="H179" s="80">
        <f t="shared" ref="H179:H193" si="34">TRUNC(G179*$J$14,2)</f>
        <v>573.33000000000004</v>
      </c>
      <c r="I179" s="80">
        <f t="shared" ref="I179:I193" si="35">TRUNC(F179*H179,2)</f>
        <v>1444.79</v>
      </c>
      <c r="J179" s="56">
        <f>(I179/$I$233)*100</f>
        <v>0.48434487175868363</v>
      </c>
    </row>
    <row r="180" spans="1:11" ht="51.75" customHeight="1" x14ac:dyDescent="0.2">
      <c r="B180" s="450" t="s">
        <v>1141</v>
      </c>
      <c r="C180" s="5" t="s">
        <v>664</v>
      </c>
      <c r="D180" s="58" t="s">
        <v>796</v>
      </c>
      <c r="E180" s="338" t="s">
        <v>16</v>
      </c>
      <c r="F180" s="349">
        <v>3.36</v>
      </c>
      <c r="G180" s="349">
        <v>468.14</v>
      </c>
      <c r="H180" s="80">
        <f t="shared" si="34"/>
        <v>573.33000000000004</v>
      </c>
      <c r="I180" s="80">
        <f t="shared" si="35"/>
        <v>1926.38</v>
      </c>
      <c r="J180" s="56">
        <f>(I180/$I$233)*100</f>
        <v>0.64579092744169952</v>
      </c>
    </row>
    <row r="181" spans="1:11" ht="107.25" customHeight="1" x14ac:dyDescent="0.2">
      <c r="B181" s="450" t="s">
        <v>1142</v>
      </c>
      <c r="C181" s="63" t="s">
        <v>689</v>
      </c>
      <c r="D181" s="64" t="s">
        <v>979</v>
      </c>
      <c r="E181" s="299" t="s">
        <v>22</v>
      </c>
      <c r="F181" s="285">
        <v>2</v>
      </c>
      <c r="G181" s="285">
        <v>423.91</v>
      </c>
      <c r="H181" s="285">
        <f t="shared" si="34"/>
        <v>519.16</v>
      </c>
      <c r="I181" s="285">
        <f t="shared" si="35"/>
        <v>1038.32</v>
      </c>
      <c r="J181" s="56">
        <f>(I181/$I$233)*100</f>
        <v>0.34808170546894457</v>
      </c>
    </row>
    <row r="182" spans="1:11" ht="23.25" customHeight="1" x14ac:dyDescent="0.2">
      <c r="B182" s="455"/>
      <c r="C182" s="63"/>
      <c r="D182" s="323" t="s">
        <v>801</v>
      </c>
      <c r="E182" s="299"/>
      <c r="F182" s="285"/>
      <c r="G182" s="285"/>
      <c r="H182" s="285"/>
      <c r="I182" s="285"/>
      <c r="J182" s="235"/>
    </row>
    <row r="183" spans="1:11" ht="58.5" customHeight="1" x14ac:dyDescent="0.2">
      <c r="B183" s="453" t="s">
        <v>1143</v>
      </c>
      <c r="C183" s="62" t="s">
        <v>756</v>
      </c>
      <c r="D183" s="260" t="s">
        <v>980</v>
      </c>
      <c r="E183" s="75" t="s">
        <v>16</v>
      </c>
      <c r="F183" s="80">
        <v>1.68</v>
      </c>
      <c r="G183" s="80">
        <v>505.83</v>
      </c>
      <c r="H183" s="80">
        <f t="shared" si="34"/>
        <v>619.49</v>
      </c>
      <c r="I183" s="80">
        <f t="shared" si="35"/>
        <v>1040.74</v>
      </c>
      <c r="J183" s="56">
        <f>(I183/$I$233)*100</f>
        <v>0.34889297533491542</v>
      </c>
    </row>
    <row r="184" spans="1:11" ht="59.25" customHeight="1" x14ac:dyDescent="0.2">
      <c r="B184" s="453" t="s">
        <v>1144</v>
      </c>
      <c r="C184" s="62" t="s">
        <v>758</v>
      </c>
      <c r="D184" s="260" t="s">
        <v>981</v>
      </c>
      <c r="E184" s="75" t="s">
        <v>16</v>
      </c>
      <c r="F184" s="80">
        <v>6.72</v>
      </c>
      <c r="G184" s="80">
        <v>501.7</v>
      </c>
      <c r="H184" s="80">
        <f t="shared" si="34"/>
        <v>614.42999999999995</v>
      </c>
      <c r="I184" s="80">
        <f t="shared" si="35"/>
        <v>4128.96</v>
      </c>
      <c r="J184" s="56">
        <f>(I184/$I$233)*100</f>
        <v>1.3841738949582532</v>
      </c>
    </row>
    <row r="185" spans="1:11" ht="17.25" customHeight="1" x14ac:dyDescent="0.2">
      <c r="B185" s="453"/>
      <c r="C185" s="79"/>
      <c r="D185" s="78" t="s">
        <v>607</v>
      </c>
      <c r="E185" s="75"/>
      <c r="F185" s="290"/>
      <c r="G185" s="290"/>
      <c r="H185" s="80"/>
      <c r="I185" s="80"/>
      <c r="J185" s="235"/>
    </row>
    <row r="186" spans="1:11" ht="58.5" customHeight="1" x14ac:dyDescent="0.2">
      <c r="B186" s="453" t="s">
        <v>1145</v>
      </c>
      <c r="C186" s="219" t="s">
        <v>760</v>
      </c>
      <c r="D186" s="294" t="s">
        <v>982</v>
      </c>
      <c r="E186" s="75" t="s">
        <v>16</v>
      </c>
      <c r="F186" s="80">
        <v>0.96</v>
      </c>
      <c r="G186" s="80">
        <v>342.39</v>
      </c>
      <c r="H186" s="80">
        <f t="shared" si="34"/>
        <v>419.32</v>
      </c>
      <c r="I186" s="80">
        <f t="shared" si="35"/>
        <v>402.54</v>
      </c>
      <c r="J186" s="56">
        <f>(I186/$I$233)*100</f>
        <v>0.134945690846241</v>
      </c>
    </row>
    <row r="187" spans="1:11" ht="57.75" customHeight="1" x14ac:dyDescent="0.2">
      <c r="B187" s="453" t="s">
        <v>1146</v>
      </c>
      <c r="C187" s="219" t="s">
        <v>761</v>
      </c>
      <c r="D187" s="294" t="s">
        <v>983</v>
      </c>
      <c r="E187" s="350" t="s">
        <v>16</v>
      </c>
      <c r="F187" s="80">
        <v>3.6</v>
      </c>
      <c r="G187" s="80">
        <v>342.38</v>
      </c>
      <c r="H187" s="80">
        <f t="shared" si="34"/>
        <v>419.31</v>
      </c>
      <c r="I187" s="80">
        <f t="shared" si="35"/>
        <v>1509.51</v>
      </c>
      <c r="J187" s="56">
        <f>(I187/$I$233)*100</f>
        <v>0.50604131214117665</v>
      </c>
    </row>
    <row r="188" spans="1:11" ht="63.75" customHeight="1" x14ac:dyDescent="0.2">
      <c r="B188" s="453" t="s">
        <v>1147</v>
      </c>
      <c r="C188" s="219" t="s">
        <v>761</v>
      </c>
      <c r="D188" s="294" t="s">
        <v>984</v>
      </c>
      <c r="E188" s="350" t="s">
        <v>16</v>
      </c>
      <c r="F188" s="80">
        <v>1.6</v>
      </c>
      <c r="G188" s="80">
        <v>342.38</v>
      </c>
      <c r="H188" s="80">
        <f t="shared" si="34"/>
        <v>419.31</v>
      </c>
      <c r="I188" s="80">
        <f t="shared" si="35"/>
        <v>670.89</v>
      </c>
      <c r="J188" s="56">
        <f>(I188/$I$233)*100</f>
        <v>0.22490613238891696</v>
      </c>
    </row>
    <row r="189" spans="1:11" ht="15" customHeight="1" x14ac:dyDescent="0.2">
      <c r="A189" s="47"/>
      <c r="B189" s="452"/>
      <c r="C189" s="5"/>
      <c r="D189" s="72" t="s">
        <v>17</v>
      </c>
      <c r="E189" s="315"/>
      <c r="F189" s="293"/>
      <c r="G189" s="293"/>
      <c r="H189" s="293"/>
      <c r="I189" s="316">
        <f>SUM(I174:I188)</f>
        <v>44975.71</v>
      </c>
      <c r="J189" s="235">
        <f>(I189/$I$233)*100</f>
        <v>15.07745381142294</v>
      </c>
      <c r="K189" s="81"/>
    </row>
    <row r="190" spans="1:11" ht="21" customHeight="1" x14ac:dyDescent="0.2">
      <c r="B190" s="453">
        <v>12</v>
      </c>
      <c r="C190" s="79"/>
      <c r="D190" s="261" t="s">
        <v>399</v>
      </c>
      <c r="E190" s="75"/>
      <c r="F190" s="290"/>
      <c r="G190" s="290"/>
      <c r="H190" s="80"/>
      <c r="I190" s="80"/>
      <c r="J190" s="56"/>
    </row>
    <row r="191" spans="1:11" ht="65.25" customHeight="1" x14ac:dyDescent="0.2">
      <c r="B191" s="453" t="s">
        <v>1148</v>
      </c>
      <c r="C191" s="79" t="s">
        <v>762</v>
      </c>
      <c r="D191" s="260" t="s">
        <v>794</v>
      </c>
      <c r="E191" s="75" t="s">
        <v>16</v>
      </c>
      <c r="F191" s="80">
        <v>3.36</v>
      </c>
      <c r="G191" s="80">
        <v>336.05</v>
      </c>
      <c r="H191" s="80">
        <f t="shared" si="34"/>
        <v>411.56</v>
      </c>
      <c r="I191" s="80">
        <f t="shared" si="35"/>
        <v>1382.84</v>
      </c>
      <c r="J191" s="56">
        <f>(I191/$I$233)*100</f>
        <v>0.46357703366079367</v>
      </c>
    </row>
    <row r="192" spans="1:11" ht="82.5" customHeight="1" x14ac:dyDescent="0.2">
      <c r="B192" s="453" t="s">
        <v>1149</v>
      </c>
      <c r="C192" s="79" t="s">
        <v>765</v>
      </c>
      <c r="D192" s="260" t="s">
        <v>795</v>
      </c>
      <c r="E192" s="75" t="s">
        <v>22</v>
      </c>
      <c r="F192" s="80">
        <v>1</v>
      </c>
      <c r="G192" s="80">
        <v>473.26</v>
      </c>
      <c r="H192" s="80">
        <f t="shared" si="34"/>
        <v>579.6</v>
      </c>
      <c r="I192" s="80">
        <f t="shared" si="35"/>
        <v>579.6</v>
      </c>
      <c r="J192" s="56">
        <f>(I192/$I$233)*100</f>
        <v>0.19430248525483501</v>
      </c>
    </row>
    <row r="193" spans="1:11" ht="39.75" customHeight="1" x14ac:dyDescent="0.2">
      <c r="B193" s="453" t="s">
        <v>1150</v>
      </c>
      <c r="C193" s="79" t="s">
        <v>791</v>
      </c>
      <c r="D193" s="260" t="s">
        <v>1179</v>
      </c>
      <c r="E193" s="75" t="s">
        <v>22</v>
      </c>
      <c r="F193" s="80">
        <v>2</v>
      </c>
      <c r="G193" s="80">
        <v>435.11</v>
      </c>
      <c r="H193" s="80">
        <f t="shared" si="34"/>
        <v>532.87</v>
      </c>
      <c r="I193" s="80">
        <f t="shared" si="35"/>
        <v>1065.74</v>
      </c>
      <c r="J193" s="56">
        <f>(I193/$I$233)*100</f>
        <v>0.35727386238006881</v>
      </c>
    </row>
    <row r="194" spans="1:11" ht="15" customHeight="1" x14ac:dyDescent="0.2">
      <c r="A194" s="47"/>
      <c r="B194" s="452"/>
      <c r="C194" s="71"/>
      <c r="D194" s="72" t="s">
        <v>17</v>
      </c>
      <c r="E194" s="315"/>
      <c r="F194" s="293"/>
      <c r="G194" s="293"/>
      <c r="H194" s="293"/>
      <c r="I194" s="316">
        <f>SUM(I191:I193)</f>
        <v>3028.1800000000003</v>
      </c>
      <c r="J194" s="235">
        <f>(I194/$I$233)*100</f>
        <v>1.0151533812956977</v>
      </c>
      <c r="K194" s="81"/>
    </row>
    <row r="195" spans="1:11" ht="18.75" x14ac:dyDescent="0.2">
      <c r="B195" s="453">
        <v>13</v>
      </c>
      <c r="C195" s="79"/>
      <c r="D195" s="261" t="s">
        <v>400</v>
      </c>
      <c r="E195" s="75"/>
      <c r="F195" s="290"/>
      <c r="G195" s="290"/>
      <c r="H195" s="290"/>
      <c r="I195" s="292"/>
      <c r="J195" s="235"/>
    </row>
    <row r="196" spans="1:11" ht="48" customHeight="1" x14ac:dyDescent="0.2">
      <c r="B196" s="453" t="s">
        <v>1151</v>
      </c>
      <c r="C196" s="79" t="s">
        <v>797</v>
      </c>
      <c r="D196" s="260" t="s">
        <v>798</v>
      </c>
      <c r="E196" s="76" t="s">
        <v>16</v>
      </c>
      <c r="F196" s="76">
        <v>6.16</v>
      </c>
      <c r="G196" s="76">
        <v>222.9</v>
      </c>
      <c r="H196" s="80">
        <f t="shared" ref="H196" si="36">TRUNC(G196*$J$14,2)</f>
        <v>272.98</v>
      </c>
      <c r="I196" s="80">
        <f t="shared" ref="I196" si="37">TRUNC(F196*H196,2)</f>
        <v>1681.55</v>
      </c>
      <c r="J196" s="56">
        <f>(I196/$I$233)*100</f>
        <v>0.56371522443110389</v>
      </c>
    </row>
    <row r="197" spans="1:11" ht="15" customHeight="1" x14ac:dyDescent="0.2">
      <c r="A197" s="47"/>
      <c r="B197" s="452"/>
      <c r="C197" s="71"/>
      <c r="D197" s="72" t="s">
        <v>17</v>
      </c>
      <c r="E197" s="315"/>
      <c r="F197" s="293"/>
      <c r="G197" s="293"/>
      <c r="H197" s="293"/>
      <c r="I197" s="316">
        <f>SUM(I196)</f>
        <v>1681.55</v>
      </c>
      <c r="J197" s="235">
        <f>(I197/$I$233)*100</f>
        <v>0.56371522443110389</v>
      </c>
      <c r="K197" s="81"/>
    </row>
    <row r="198" spans="1:11" ht="18.75" x14ac:dyDescent="0.2">
      <c r="B198" s="453">
        <v>14</v>
      </c>
      <c r="C198" s="79"/>
      <c r="D198" s="261" t="s">
        <v>921</v>
      </c>
      <c r="E198" s="262"/>
      <c r="F198" s="290"/>
      <c r="G198" s="290"/>
      <c r="H198" s="290"/>
      <c r="I198" s="292"/>
      <c r="J198" s="235"/>
    </row>
    <row r="199" spans="1:11" ht="59.25" customHeight="1" x14ac:dyDescent="0.2">
      <c r="B199" s="453" t="s">
        <v>1152</v>
      </c>
      <c r="C199" s="79" t="s">
        <v>803</v>
      </c>
      <c r="D199" s="260" t="s">
        <v>58</v>
      </c>
      <c r="E199" s="75" t="s">
        <v>16</v>
      </c>
      <c r="F199" s="80">
        <v>496.78</v>
      </c>
      <c r="G199" s="80">
        <v>3.5</v>
      </c>
      <c r="H199" s="80">
        <f t="shared" ref="H199:H202" si="38">TRUNC(G199*$J$14,2)</f>
        <v>4.28</v>
      </c>
      <c r="I199" s="80">
        <f t="shared" ref="I199:I202" si="39">TRUNC(F199*H199,2)</f>
        <v>2126.21</v>
      </c>
      <c r="J199" s="56">
        <f>(I199/$I$233)*100</f>
        <v>0.7127810337710192</v>
      </c>
    </row>
    <row r="200" spans="1:11" ht="84.75" customHeight="1" x14ac:dyDescent="0.2">
      <c r="B200" s="453" t="s">
        <v>1153</v>
      </c>
      <c r="C200" s="79" t="s">
        <v>804</v>
      </c>
      <c r="D200" s="260" t="s">
        <v>805</v>
      </c>
      <c r="E200" s="75" t="s">
        <v>16</v>
      </c>
      <c r="F200" s="80">
        <v>496.78</v>
      </c>
      <c r="G200" s="80">
        <v>24.6</v>
      </c>
      <c r="H200" s="80">
        <f t="shared" si="38"/>
        <v>30.12</v>
      </c>
      <c r="I200" s="80">
        <f t="shared" si="39"/>
        <v>14963.01</v>
      </c>
      <c r="J200" s="56">
        <f>(I200/$I$233)*100</f>
        <v>5.016131866619995</v>
      </c>
    </row>
    <row r="201" spans="1:11" ht="66.75" customHeight="1" x14ac:dyDescent="0.2">
      <c r="B201" s="453" t="s">
        <v>1154</v>
      </c>
      <c r="C201" s="79" t="s">
        <v>806</v>
      </c>
      <c r="D201" s="260" t="s">
        <v>807</v>
      </c>
      <c r="E201" s="75" t="s">
        <v>16</v>
      </c>
      <c r="F201" s="80">
        <v>107.46</v>
      </c>
      <c r="G201" s="80">
        <v>19.37</v>
      </c>
      <c r="H201" s="80">
        <f t="shared" si="38"/>
        <v>23.72</v>
      </c>
      <c r="I201" s="80">
        <f t="shared" si="39"/>
        <v>2548.9499999999998</v>
      </c>
      <c r="J201" s="56">
        <f>(I201/$I$233)*100</f>
        <v>0.85449848134974393</v>
      </c>
    </row>
    <row r="202" spans="1:11" ht="57" customHeight="1" x14ac:dyDescent="0.2">
      <c r="B202" s="453" t="s">
        <v>1155</v>
      </c>
      <c r="C202" s="62" t="s">
        <v>808</v>
      </c>
      <c r="D202" s="260" t="s">
        <v>985</v>
      </c>
      <c r="E202" s="75" t="s">
        <v>16</v>
      </c>
      <c r="F202" s="80">
        <v>140.75</v>
      </c>
      <c r="G202" s="80">
        <v>50.46</v>
      </c>
      <c r="H202" s="80">
        <f t="shared" si="38"/>
        <v>61.79</v>
      </c>
      <c r="I202" s="80">
        <f t="shared" si="39"/>
        <v>8696.94</v>
      </c>
      <c r="J202" s="56">
        <f>(I202/$I$233)*100</f>
        <v>2.9155228711390353</v>
      </c>
    </row>
    <row r="203" spans="1:11" ht="15" customHeight="1" x14ac:dyDescent="0.2">
      <c r="A203" s="47"/>
      <c r="B203" s="452"/>
      <c r="C203" s="71"/>
      <c r="D203" s="72" t="s">
        <v>17</v>
      </c>
      <c r="E203" s="315"/>
      <c r="F203" s="293"/>
      <c r="G203" s="293"/>
      <c r="H203" s="293"/>
      <c r="I203" s="316">
        <f>SUM(I199:I202)</f>
        <v>28335.11</v>
      </c>
      <c r="J203" s="235">
        <f>(I203/$I$233)*100</f>
        <v>9.498934252879792</v>
      </c>
      <c r="K203" s="81"/>
    </row>
    <row r="204" spans="1:11" ht="18.75" x14ac:dyDescent="0.2">
      <c r="B204" s="455">
        <v>15</v>
      </c>
      <c r="C204" s="309"/>
      <c r="D204" s="467" t="s">
        <v>401</v>
      </c>
      <c r="E204" s="303"/>
      <c r="F204" s="307"/>
      <c r="G204" s="307"/>
      <c r="H204" s="307"/>
      <c r="I204" s="308"/>
      <c r="J204" s="235"/>
    </row>
    <row r="205" spans="1:11" ht="116.25" customHeight="1" x14ac:dyDescent="0.2">
      <c r="B205" s="453" t="s">
        <v>1156</v>
      </c>
      <c r="C205" s="79" t="s">
        <v>813</v>
      </c>
      <c r="D205" s="260" t="s">
        <v>986</v>
      </c>
      <c r="E205" s="75" t="s">
        <v>16</v>
      </c>
      <c r="F205" s="80">
        <v>239.45</v>
      </c>
      <c r="G205" s="80">
        <v>62.22</v>
      </c>
      <c r="H205" s="80">
        <f t="shared" ref="H205:H207" si="40">TRUNC(G205*$J$14,2)</f>
        <v>76.2</v>
      </c>
      <c r="I205" s="80">
        <f t="shared" ref="I205:I207" si="41">TRUNC(F205*H205,2)</f>
        <v>18246.09</v>
      </c>
      <c r="J205" s="56">
        <f>(I205/$I$233)*100</f>
        <v>6.1167367722280757</v>
      </c>
    </row>
    <row r="206" spans="1:11" ht="48.75" customHeight="1" x14ac:dyDescent="0.2">
      <c r="B206" s="453" t="s">
        <v>1157</v>
      </c>
      <c r="C206" s="79" t="s">
        <v>832</v>
      </c>
      <c r="D206" s="260" t="s">
        <v>833</v>
      </c>
      <c r="E206" s="75" t="s">
        <v>16</v>
      </c>
      <c r="F206" s="80">
        <v>20.23</v>
      </c>
      <c r="G206" s="80">
        <v>81.180000000000007</v>
      </c>
      <c r="H206" s="80">
        <f t="shared" si="40"/>
        <v>99.42</v>
      </c>
      <c r="I206" s="80">
        <f t="shared" si="41"/>
        <v>2011.26</v>
      </c>
      <c r="J206" s="56">
        <f>(I206/$I$233)*100</f>
        <v>0.67424571513740417</v>
      </c>
    </row>
    <row r="207" spans="1:11" ht="68.25" customHeight="1" x14ac:dyDescent="0.2">
      <c r="B207" s="453" t="s">
        <v>1158</v>
      </c>
      <c r="C207" s="79" t="s">
        <v>911</v>
      </c>
      <c r="D207" s="260" t="s">
        <v>912</v>
      </c>
      <c r="E207" s="76" t="s">
        <v>16</v>
      </c>
      <c r="F207" s="80">
        <v>20.23</v>
      </c>
      <c r="G207" s="80">
        <v>18.7</v>
      </c>
      <c r="H207" s="80">
        <f t="shared" si="40"/>
        <v>22.9</v>
      </c>
      <c r="I207" s="80">
        <f t="shared" si="41"/>
        <v>463.26</v>
      </c>
      <c r="J207" s="56"/>
    </row>
    <row r="208" spans="1:11" ht="15" customHeight="1" x14ac:dyDescent="0.2">
      <c r="A208" s="47"/>
      <c r="B208" s="452"/>
      <c r="C208" s="71"/>
      <c r="D208" s="72" t="s">
        <v>17</v>
      </c>
      <c r="E208" s="315"/>
      <c r="F208" s="293"/>
      <c r="G208" s="293"/>
      <c r="H208" s="293"/>
      <c r="I208" s="316">
        <f>SUM(I205:I207)</f>
        <v>20720.609999999997</v>
      </c>
      <c r="J208" s="235">
        <f>(I208/$I$233)*100</f>
        <v>6.9462836766669884</v>
      </c>
      <c r="K208" s="81"/>
    </row>
    <row r="209" spans="1:11" ht="18.75" x14ac:dyDescent="0.2">
      <c r="B209" s="453">
        <v>16</v>
      </c>
      <c r="C209" s="79"/>
      <c r="D209" s="261" t="s">
        <v>945</v>
      </c>
      <c r="E209" s="262"/>
      <c r="F209" s="290"/>
      <c r="G209" s="290"/>
      <c r="H209" s="290"/>
      <c r="I209" s="292"/>
      <c r="J209" s="235"/>
    </row>
    <row r="210" spans="1:11" ht="80.25" customHeight="1" x14ac:dyDescent="0.2">
      <c r="B210" s="453" t="s">
        <v>1159</v>
      </c>
      <c r="C210" s="62" t="s">
        <v>806</v>
      </c>
      <c r="D210" s="260" t="s">
        <v>840</v>
      </c>
      <c r="E210" s="75" t="s">
        <v>16</v>
      </c>
      <c r="F210" s="80">
        <v>15.42</v>
      </c>
      <c r="G210" s="80">
        <v>19.37</v>
      </c>
      <c r="H210" s="80">
        <f t="shared" ref="H210" si="42">TRUNC(G210*$J$14,2)</f>
        <v>23.72</v>
      </c>
      <c r="I210" s="80">
        <f t="shared" ref="I210" si="43">TRUNC(F210*H210,2)</f>
        <v>365.76</v>
      </c>
      <c r="J210" s="56">
        <f t="shared" ref="J210:J215" si="44">(I210/$I$233)*100</f>
        <v>0.1226157298254114</v>
      </c>
    </row>
    <row r="211" spans="1:11" ht="91.5" customHeight="1" x14ac:dyDescent="0.2">
      <c r="B211" s="453" t="s">
        <v>1160</v>
      </c>
      <c r="C211" s="62" t="s">
        <v>835</v>
      </c>
      <c r="D211" s="260" t="s">
        <v>836</v>
      </c>
      <c r="E211" s="75" t="s">
        <v>18</v>
      </c>
      <c r="F211" s="80">
        <v>220.26</v>
      </c>
      <c r="G211" s="80">
        <v>19.11</v>
      </c>
      <c r="H211" s="80">
        <f t="shared" ref="H211:H214" si="45">TRUNC(G211*$J$14,2)</f>
        <v>23.4</v>
      </c>
      <c r="I211" s="80">
        <f t="shared" ref="I211:I214" si="46">TRUNC(F211*H211,2)</f>
        <v>5154.08</v>
      </c>
      <c r="J211" s="56">
        <f t="shared" si="44"/>
        <v>1.7278304920673566</v>
      </c>
    </row>
    <row r="212" spans="1:11" ht="32.25" customHeight="1" x14ac:dyDescent="0.2">
      <c r="B212" s="453" t="s">
        <v>1161</v>
      </c>
      <c r="C212" s="79" t="s">
        <v>841</v>
      </c>
      <c r="D212" s="260" t="s">
        <v>842</v>
      </c>
      <c r="E212" s="75" t="s">
        <v>18</v>
      </c>
      <c r="F212" s="80">
        <v>26.4</v>
      </c>
      <c r="G212" s="80">
        <v>84.6</v>
      </c>
      <c r="H212" s="80">
        <f t="shared" si="45"/>
        <v>103.6</v>
      </c>
      <c r="I212" s="80">
        <f t="shared" si="46"/>
        <v>2735.04</v>
      </c>
      <c r="J212" s="56">
        <f t="shared" si="44"/>
        <v>0.91688245215904751</v>
      </c>
    </row>
    <row r="213" spans="1:11" ht="85.5" customHeight="1" x14ac:dyDescent="0.2">
      <c r="B213" s="453" t="s">
        <v>1162</v>
      </c>
      <c r="C213" s="79" t="s">
        <v>844</v>
      </c>
      <c r="D213" s="260" t="s">
        <v>853</v>
      </c>
      <c r="E213" s="75" t="s">
        <v>18</v>
      </c>
      <c r="F213" s="80">
        <v>16.600000000000001</v>
      </c>
      <c r="G213" s="80">
        <v>41.53</v>
      </c>
      <c r="H213" s="80">
        <f t="shared" si="45"/>
        <v>50.86</v>
      </c>
      <c r="I213" s="80">
        <f t="shared" si="46"/>
        <v>844.27</v>
      </c>
      <c r="J213" s="56">
        <f t="shared" si="44"/>
        <v>0.2830292602244644</v>
      </c>
    </row>
    <row r="214" spans="1:11" ht="78" customHeight="1" x14ac:dyDescent="0.2">
      <c r="B214" s="453" t="s">
        <v>1163</v>
      </c>
      <c r="C214" s="62" t="s">
        <v>854</v>
      </c>
      <c r="D214" s="260" t="s">
        <v>855</v>
      </c>
      <c r="E214" s="75" t="s">
        <v>18</v>
      </c>
      <c r="F214" s="80">
        <v>6.25</v>
      </c>
      <c r="G214" s="80">
        <v>41.53</v>
      </c>
      <c r="H214" s="80">
        <f t="shared" si="45"/>
        <v>50.86</v>
      </c>
      <c r="I214" s="80">
        <f t="shared" si="46"/>
        <v>317.87</v>
      </c>
      <c r="J214" s="56">
        <f t="shared" si="44"/>
        <v>0.10656130260171567</v>
      </c>
    </row>
    <row r="215" spans="1:11" ht="15" customHeight="1" x14ac:dyDescent="0.2">
      <c r="A215" s="47"/>
      <c r="B215" s="452"/>
      <c r="C215" s="71"/>
      <c r="D215" s="72" t="s">
        <v>17</v>
      </c>
      <c r="E215" s="315"/>
      <c r="F215" s="293"/>
      <c r="G215" s="293"/>
      <c r="H215" s="293"/>
      <c r="I215" s="316">
        <f>SUM(I210:I214)</f>
        <v>9417.0200000000023</v>
      </c>
      <c r="J215" s="235">
        <f t="shared" si="44"/>
        <v>3.1569192368779966</v>
      </c>
      <c r="K215" s="81"/>
    </row>
    <row r="216" spans="1:11" ht="18.75" x14ac:dyDescent="0.2">
      <c r="B216" s="453">
        <v>17</v>
      </c>
      <c r="C216" s="79"/>
      <c r="D216" s="261" t="s">
        <v>24</v>
      </c>
      <c r="E216" s="262"/>
      <c r="F216" s="80"/>
      <c r="G216" s="80"/>
      <c r="H216" s="80"/>
      <c r="I216" s="80"/>
      <c r="J216" s="235"/>
    </row>
    <row r="217" spans="1:11" ht="30.75" customHeight="1" x14ac:dyDescent="0.2">
      <c r="B217" s="453"/>
      <c r="C217" s="79"/>
      <c r="D217" s="78" t="s">
        <v>856</v>
      </c>
      <c r="E217" s="262"/>
      <c r="F217" s="80"/>
      <c r="G217" s="80"/>
      <c r="H217" s="80"/>
      <c r="I217" s="80"/>
      <c r="J217" s="235"/>
    </row>
    <row r="218" spans="1:11" ht="48" customHeight="1" x14ac:dyDescent="0.2">
      <c r="B218" s="453" t="s">
        <v>1164</v>
      </c>
      <c r="C218" s="79" t="s">
        <v>857</v>
      </c>
      <c r="D218" s="260" t="s">
        <v>858</v>
      </c>
      <c r="E218" s="75" t="s">
        <v>16</v>
      </c>
      <c r="F218" s="80">
        <v>259.97000000000003</v>
      </c>
      <c r="G218" s="80">
        <v>19.37</v>
      </c>
      <c r="H218" s="80">
        <f t="shared" ref="H218:H224" si="47">TRUNC(G218*$J$14,2)</f>
        <v>23.72</v>
      </c>
      <c r="I218" s="80">
        <f t="shared" ref="I218:I224" si="48">TRUNC(F218*H218,2)</f>
        <v>6166.48</v>
      </c>
      <c r="J218" s="56">
        <f>(I218/$I$233)*100</f>
        <v>2.067222893847886</v>
      </c>
    </row>
    <row r="219" spans="1:11" ht="32.25" customHeight="1" x14ac:dyDescent="0.2">
      <c r="B219" s="453" t="s">
        <v>1165</v>
      </c>
      <c r="C219" s="79" t="s">
        <v>859</v>
      </c>
      <c r="D219" s="260" t="s">
        <v>860</v>
      </c>
      <c r="E219" s="75" t="s">
        <v>16</v>
      </c>
      <c r="F219" s="80">
        <v>259.97000000000003</v>
      </c>
      <c r="G219" s="80">
        <v>3.57</v>
      </c>
      <c r="H219" s="80">
        <f t="shared" si="47"/>
        <v>4.37</v>
      </c>
      <c r="I219" s="80">
        <f t="shared" si="48"/>
        <v>1136.06</v>
      </c>
      <c r="J219" s="56">
        <f>(I219/$I$233)*100</f>
        <v>0.38084762146067608</v>
      </c>
    </row>
    <row r="220" spans="1:11" ht="31.5" customHeight="1" x14ac:dyDescent="0.2">
      <c r="B220" s="453" t="s">
        <v>1166</v>
      </c>
      <c r="C220" s="79" t="s">
        <v>862</v>
      </c>
      <c r="D220" s="260" t="s">
        <v>864</v>
      </c>
      <c r="E220" s="75" t="s">
        <v>16</v>
      </c>
      <c r="F220" s="80">
        <v>259.97000000000003</v>
      </c>
      <c r="G220" s="80">
        <v>21.09</v>
      </c>
      <c r="H220" s="80">
        <f t="shared" si="47"/>
        <v>25.82</v>
      </c>
      <c r="I220" s="80">
        <f t="shared" si="48"/>
        <v>6712.42</v>
      </c>
      <c r="J220" s="56">
        <f>(I220/$I$233)*100</f>
        <v>2.2502413527851268</v>
      </c>
    </row>
    <row r="221" spans="1:11" ht="45.75" customHeight="1" x14ac:dyDescent="0.2">
      <c r="B221" s="453" t="s">
        <v>1167</v>
      </c>
      <c r="C221" s="79" t="s">
        <v>863</v>
      </c>
      <c r="D221" s="260" t="s">
        <v>867</v>
      </c>
      <c r="E221" s="75" t="s">
        <v>16</v>
      </c>
      <c r="F221" s="80">
        <v>259.97000000000003</v>
      </c>
      <c r="G221" s="80">
        <v>12</v>
      </c>
      <c r="H221" s="80">
        <f t="shared" si="47"/>
        <v>14.69</v>
      </c>
      <c r="I221" s="80">
        <f t="shared" si="48"/>
        <v>3818.95</v>
      </c>
      <c r="J221" s="56">
        <f>(I221/$I$233)*100</f>
        <v>1.2802475432435336</v>
      </c>
    </row>
    <row r="222" spans="1:11" ht="33" customHeight="1" x14ac:dyDescent="0.2">
      <c r="B222" s="453"/>
      <c r="C222" s="79"/>
      <c r="D222" s="78" t="s">
        <v>523</v>
      </c>
      <c r="E222" s="75"/>
      <c r="F222" s="80"/>
      <c r="G222" s="80"/>
      <c r="H222" s="313"/>
      <c r="I222" s="313"/>
      <c r="J222" s="235"/>
    </row>
    <row r="223" spans="1:11" ht="42" customHeight="1" x14ac:dyDescent="0.2">
      <c r="B223" s="453" t="s">
        <v>1168</v>
      </c>
      <c r="C223" s="79" t="s">
        <v>857</v>
      </c>
      <c r="D223" s="260" t="s">
        <v>858</v>
      </c>
      <c r="E223" s="75" t="s">
        <v>16</v>
      </c>
      <c r="F223" s="80">
        <v>147.35</v>
      </c>
      <c r="G223" s="80">
        <v>19.37</v>
      </c>
      <c r="H223" s="80">
        <f t="shared" si="47"/>
        <v>23.72</v>
      </c>
      <c r="I223" s="80">
        <f t="shared" si="48"/>
        <v>3495.14</v>
      </c>
      <c r="J223" s="56">
        <f>(I223/$I$233)*100</f>
        <v>1.1716949418798897</v>
      </c>
    </row>
    <row r="224" spans="1:11" ht="83.25" customHeight="1" x14ac:dyDescent="0.2">
      <c r="B224" s="453" t="s">
        <v>1169</v>
      </c>
      <c r="C224" s="79" t="s">
        <v>869</v>
      </c>
      <c r="D224" s="260" t="s">
        <v>870</v>
      </c>
      <c r="E224" s="75" t="s">
        <v>16</v>
      </c>
      <c r="F224" s="80">
        <v>644.13</v>
      </c>
      <c r="G224" s="80">
        <v>36.4</v>
      </c>
      <c r="H224" s="80">
        <f t="shared" si="47"/>
        <v>44.57</v>
      </c>
      <c r="I224" s="80">
        <f t="shared" si="48"/>
        <v>28708.87</v>
      </c>
      <c r="J224" s="56">
        <f>(I224/$I$233)*100</f>
        <v>9.6242318665596525</v>
      </c>
    </row>
    <row r="225" spans="1:11" ht="15" customHeight="1" x14ac:dyDescent="0.2">
      <c r="A225" s="47"/>
      <c r="B225" s="452"/>
      <c r="C225" s="71"/>
      <c r="D225" s="72" t="s">
        <v>17</v>
      </c>
      <c r="E225" s="315"/>
      <c r="F225" s="293"/>
      <c r="G225" s="293"/>
      <c r="H225" s="293"/>
      <c r="I225" s="316">
        <f>SUM(I218:I224)</f>
        <v>50037.919999999998</v>
      </c>
      <c r="J225" s="235">
        <f>(I225/$I$233)*100</f>
        <v>16.774486219776765</v>
      </c>
      <c r="K225" s="81"/>
    </row>
    <row r="226" spans="1:11" ht="15" customHeight="1" x14ac:dyDescent="0.2">
      <c r="B226" s="450" t="s">
        <v>207</v>
      </c>
      <c r="C226" s="5"/>
      <c r="D226" s="210" t="s">
        <v>25</v>
      </c>
      <c r="E226" s="279"/>
      <c r="F226" s="210"/>
      <c r="G226" s="210"/>
      <c r="H226" s="210"/>
      <c r="I226" s="292"/>
      <c r="J226" s="235"/>
    </row>
    <row r="227" spans="1:11" ht="33" customHeight="1" x14ac:dyDescent="0.2">
      <c r="B227" s="450" t="s">
        <v>1170</v>
      </c>
      <c r="C227" s="5" t="s">
        <v>899</v>
      </c>
      <c r="D227" s="339" t="s">
        <v>904</v>
      </c>
      <c r="E227" s="338" t="s">
        <v>16</v>
      </c>
      <c r="F227" s="351">
        <v>259.68</v>
      </c>
      <c r="G227" s="352">
        <v>7.24</v>
      </c>
      <c r="H227" s="353">
        <f t="shared" ref="H227:H231" si="49">TRUNC(G227*$J$14,2)</f>
        <v>8.86</v>
      </c>
      <c r="I227" s="353">
        <f t="shared" ref="I227:I231" si="50">TRUNC(F227*H227,2)</f>
        <v>2300.7600000000002</v>
      </c>
      <c r="J227" s="56">
        <f>(I227/$I$233)*100</f>
        <v>0.77129638712027992</v>
      </c>
    </row>
    <row r="228" spans="1:11" ht="33" customHeight="1" x14ac:dyDescent="0.2">
      <c r="B228" s="450" t="s">
        <v>1171</v>
      </c>
      <c r="C228" s="5" t="s">
        <v>900</v>
      </c>
      <c r="D228" s="58" t="s">
        <v>901</v>
      </c>
      <c r="E228" s="338" t="s">
        <v>16</v>
      </c>
      <c r="F228" s="351">
        <v>140.75</v>
      </c>
      <c r="G228" s="352">
        <v>6.33</v>
      </c>
      <c r="H228" s="353">
        <f t="shared" si="49"/>
        <v>7.75</v>
      </c>
      <c r="I228" s="353">
        <f t="shared" si="50"/>
        <v>1090.81</v>
      </c>
      <c r="J228" s="56">
        <f>(I228/$I$233)*100</f>
        <v>0.36567821590894856</v>
      </c>
    </row>
    <row r="229" spans="1:11" ht="33" customHeight="1" x14ac:dyDescent="0.2">
      <c r="B229" s="450" t="s">
        <v>1172</v>
      </c>
      <c r="C229" s="5" t="s">
        <v>897</v>
      </c>
      <c r="D229" s="339" t="s">
        <v>898</v>
      </c>
      <c r="E229" s="338" t="s">
        <v>16</v>
      </c>
      <c r="F229" s="351">
        <v>27.02</v>
      </c>
      <c r="G229" s="352">
        <v>10.98</v>
      </c>
      <c r="H229" s="353">
        <f t="shared" si="49"/>
        <v>13.44</v>
      </c>
      <c r="I229" s="353">
        <f t="shared" si="50"/>
        <v>363.14</v>
      </c>
      <c r="J229" s="56">
        <f>(I229/$I$233)*100</f>
        <v>0.12173741286307933</v>
      </c>
    </row>
    <row r="230" spans="1:11" ht="33" customHeight="1" x14ac:dyDescent="0.2">
      <c r="B230" s="450" t="s">
        <v>1173</v>
      </c>
      <c r="C230" s="5" t="s">
        <v>902</v>
      </c>
      <c r="D230" s="339" t="s">
        <v>903</v>
      </c>
      <c r="E230" s="338" t="s">
        <v>22</v>
      </c>
      <c r="F230" s="351">
        <v>17</v>
      </c>
      <c r="G230" s="352">
        <v>10.14</v>
      </c>
      <c r="H230" s="353">
        <f t="shared" si="49"/>
        <v>12.41</v>
      </c>
      <c r="I230" s="353">
        <f t="shared" si="50"/>
        <v>210.97</v>
      </c>
      <c r="J230" s="56">
        <f>(I230/$I$233)*100</f>
        <v>7.0724629596639998E-2</v>
      </c>
    </row>
    <row r="231" spans="1:11" ht="80.25" customHeight="1" x14ac:dyDescent="0.2">
      <c r="B231" s="450" t="s">
        <v>1174</v>
      </c>
      <c r="C231" s="49" t="s">
        <v>533</v>
      </c>
      <c r="D231" s="58" t="s">
        <v>538</v>
      </c>
      <c r="E231" s="338" t="s">
        <v>22</v>
      </c>
      <c r="F231" s="352">
        <v>11</v>
      </c>
      <c r="G231" s="352">
        <v>239.32</v>
      </c>
      <c r="H231" s="353">
        <f t="shared" si="49"/>
        <v>293.08999999999997</v>
      </c>
      <c r="I231" s="353">
        <f t="shared" si="50"/>
        <v>3223.99</v>
      </c>
      <c r="J231" s="56">
        <f>(I231/$I$233)*100</f>
        <v>1.0807958409881564</v>
      </c>
    </row>
    <row r="232" spans="1:11" x14ac:dyDescent="0.2">
      <c r="A232" s="47"/>
      <c r="B232" s="329"/>
      <c r="C232" s="71"/>
      <c r="D232" s="72" t="s">
        <v>17</v>
      </c>
      <c r="E232" s="315"/>
      <c r="F232" s="293"/>
      <c r="G232" s="293"/>
      <c r="H232" s="316"/>
      <c r="I232" s="316">
        <f>SUM(I227:I231)</f>
        <v>7189.67</v>
      </c>
      <c r="J232" s="235">
        <f t="shared" ref="J232" si="51">(I232/$I$233)*100</f>
        <v>2.4102324864771041</v>
      </c>
    </row>
    <row r="233" spans="1:11" s="336" customFormat="1" ht="15" customHeight="1" x14ac:dyDescent="0.25">
      <c r="A233" s="328"/>
      <c r="B233" s="329"/>
      <c r="C233" s="329"/>
      <c r="D233" s="330" t="s">
        <v>879</v>
      </c>
      <c r="E233" s="331"/>
      <c r="F233" s="332"/>
      <c r="G233" s="332"/>
      <c r="H233" s="332"/>
      <c r="I233" s="333">
        <f>I24+I32+I49+I55+I82+I97+I126+I132+I138+I170+I189+I194+I197+I203+I208+I215+I225+I232</f>
        <v>298297.77999999991</v>
      </c>
      <c r="J233" s="334">
        <f>(I233/$I$233)*100</f>
        <v>100</v>
      </c>
      <c r="K233" s="335"/>
    </row>
    <row r="235" spans="1:11" x14ac:dyDescent="0.2">
      <c r="D235" s="479"/>
    </row>
    <row r="236" spans="1:11" x14ac:dyDescent="0.2">
      <c r="D236" s="479"/>
    </row>
    <row r="237" spans="1:11" x14ac:dyDescent="0.2">
      <c r="D237" s="479"/>
    </row>
    <row r="238" spans="1:11" x14ac:dyDescent="0.2">
      <c r="D238" s="479"/>
    </row>
  </sheetData>
  <mergeCells count="23">
    <mergeCell ref="D5:F5"/>
    <mergeCell ref="D6:F6"/>
    <mergeCell ref="D7:F7"/>
    <mergeCell ref="H8:J8"/>
    <mergeCell ref="D8:F8"/>
    <mergeCell ref="H7:J7"/>
    <mergeCell ref="B12:J12"/>
    <mergeCell ref="G16:J16"/>
    <mergeCell ref="D9:F9"/>
    <mergeCell ref="D10:F10"/>
    <mergeCell ref="D11:F11"/>
    <mergeCell ref="H9:J9"/>
    <mergeCell ref="H10:J10"/>
    <mergeCell ref="H11:J11"/>
    <mergeCell ref="H17:H18"/>
    <mergeCell ref="I17:I18"/>
    <mergeCell ref="G17:G18"/>
    <mergeCell ref="J17:J18"/>
    <mergeCell ref="B17:B18"/>
    <mergeCell ref="C17:C18"/>
    <mergeCell ref="D17:D18"/>
    <mergeCell ref="E17:E18"/>
    <mergeCell ref="F17:F18"/>
  </mergeCells>
  <pageMargins left="0.51181102362204722" right="0.51181102362204722" top="0.78740157480314965" bottom="0.78740157480314965" header="0.31496062992125984" footer="0.31496062992125984"/>
  <pageSetup paperSize="9" scale="65" orientation="portrait" r:id="rId1"/>
  <headerFooter>
    <oddFooter>&amp;CFolha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5"/>
  <sheetViews>
    <sheetView zoomScale="75" zoomScaleNormal="75" workbookViewId="0">
      <selection activeCell="N55" sqref="B1:N55"/>
    </sheetView>
  </sheetViews>
  <sheetFormatPr defaultRowHeight="15" customHeight="1" x14ac:dyDescent="0.25"/>
  <cols>
    <col min="1" max="1" width="24.7109375" style="23" customWidth="1"/>
    <col min="2" max="2" width="9.140625" style="23"/>
    <col min="3" max="3" width="43.140625" style="23" customWidth="1"/>
    <col min="4" max="4" width="14.140625" style="23" customWidth="1"/>
    <col min="5" max="5" width="11.140625" style="23" customWidth="1"/>
    <col min="6" max="13" width="15.7109375" style="23" customWidth="1"/>
    <col min="14" max="14" width="18.42578125" style="363" customWidth="1"/>
    <col min="15" max="15" width="17.140625" style="23" customWidth="1"/>
    <col min="16" max="16384" width="9.140625" style="23"/>
  </cols>
  <sheetData>
    <row r="2" spans="2:15" s="1" customFormat="1" ht="17.100000000000001" customHeight="1" x14ac:dyDescent="0.25">
      <c r="B2" s="2"/>
      <c r="C2" s="6"/>
      <c r="D2" s="638" t="s">
        <v>12</v>
      </c>
      <c r="E2" s="708"/>
      <c r="F2" s="708"/>
      <c r="G2" s="708"/>
      <c r="H2" s="708"/>
      <c r="I2" s="708"/>
      <c r="J2" s="15"/>
      <c r="K2" s="255" t="s">
        <v>82</v>
      </c>
      <c r="L2" s="212" t="s">
        <v>84</v>
      </c>
      <c r="M2" s="256" t="s">
        <v>83</v>
      </c>
      <c r="N2" s="362"/>
    </row>
    <row r="3" spans="2:15" s="1" customFormat="1" ht="17.100000000000001" customHeight="1" x14ac:dyDescent="0.25">
      <c r="B3" s="3"/>
      <c r="C3" s="7"/>
      <c r="D3" s="709" t="s">
        <v>8</v>
      </c>
      <c r="E3" s="631"/>
      <c r="F3" s="631"/>
      <c r="G3" s="625"/>
      <c r="H3" s="631"/>
      <c r="I3" s="625"/>
      <c r="J3" s="16"/>
      <c r="K3" s="255"/>
      <c r="L3" s="497">
        <v>2</v>
      </c>
      <c r="M3" s="498" t="s">
        <v>1627</v>
      </c>
      <c r="N3" s="362"/>
    </row>
    <row r="4" spans="2:15" s="1" customFormat="1" ht="17.100000000000001" customHeight="1" x14ac:dyDescent="0.25">
      <c r="B4" s="3"/>
      <c r="C4" s="7"/>
      <c r="D4" s="709" t="s">
        <v>9</v>
      </c>
      <c r="E4" s="631"/>
      <c r="F4" s="631"/>
      <c r="G4" s="625"/>
      <c r="H4" s="631"/>
      <c r="I4" s="625"/>
      <c r="J4" s="16"/>
      <c r="K4" s="266" t="s">
        <v>1572</v>
      </c>
      <c r="L4" s="674" t="s">
        <v>1573</v>
      </c>
      <c r="M4" s="696"/>
      <c r="N4" s="499"/>
    </row>
    <row r="5" spans="2:15" s="1" customFormat="1" ht="17.100000000000001" customHeight="1" x14ac:dyDescent="0.25">
      <c r="B5" s="3"/>
      <c r="C5" s="7"/>
      <c r="D5" s="650" t="s">
        <v>148</v>
      </c>
      <c r="E5" s="723"/>
      <c r="F5" s="723"/>
      <c r="G5" s="723"/>
      <c r="H5" s="723"/>
      <c r="I5" s="723"/>
      <c r="J5" s="724"/>
      <c r="K5" s="17" t="s">
        <v>63</v>
      </c>
      <c r="L5" s="722" t="s">
        <v>173</v>
      </c>
      <c r="M5" s="679"/>
      <c r="N5" s="362"/>
    </row>
    <row r="6" spans="2:15" s="1" customFormat="1" ht="17.100000000000001" customHeight="1" x14ac:dyDescent="0.25">
      <c r="B6" s="3"/>
      <c r="C6" s="7"/>
      <c r="D6" s="650" t="s">
        <v>149</v>
      </c>
      <c r="E6" s="723"/>
      <c r="F6" s="723"/>
      <c r="G6" s="723"/>
      <c r="H6" s="625"/>
      <c r="I6" s="625"/>
      <c r="J6" s="724"/>
      <c r="K6" s="266" t="s">
        <v>988</v>
      </c>
      <c r="L6" s="674" t="s">
        <v>895</v>
      </c>
      <c r="M6" s="676"/>
      <c r="N6" s="362"/>
    </row>
    <row r="7" spans="2:15" s="1" customFormat="1" ht="26.25" customHeight="1" x14ac:dyDescent="0.25">
      <c r="B7" s="3"/>
      <c r="C7" s="7"/>
      <c r="D7" s="650" t="s">
        <v>1576</v>
      </c>
      <c r="E7" s="725"/>
      <c r="F7" s="725"/>
      <c r="G7" s="725"/>
      <c r="H7" s="625"/>
      <c r="I7" s="625"/>
      <c r="J7" s="724"/>
      <c r="K7" s="18" t="s">
        <v>64</v>
      </c>
      <c r="L7" s="674" t="s">
        <v>121</v>
      </c>
      <c r="M7" s="676"/>
      <c r="N7" s="362"/>
    </row>
    <row r="8" spans="2:15" s="1" customFormat="1" ht="17.100000000000001" customHeight="1" x14ac:dyDescent="0.25">
      <c r="B8" s="4"/>
      <c r="C8" s="19"/>
      <c r="D8" s="726" t="s">
        <v>529</v>
      </c>
      <c r="E8" s="727"/>
      <c r="F8" s="727"/>
      <c r="G8" s="727"/>
      <c r="H8" s="728"/>
      <c r="I8" s="728"/>
      <c r="J8" s="729"/>
      <c r="K8" s="20" t="s">
        <v>65</v>
      </c>
      <c r="L8" s="680" t="s">
        <v>69</v>
      </c>
      <c r="M8" s="676"/>
      <c r="N8" s="362"/>
    </row>
    <row r="9" spans="2:15" ht="9" customHeight="1" x14ac:dyDescent="0.25"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61"/>
    </row>
    <row r="10" spans="2:15" s="21" customFormat="1" ht="15" customHeight="1" x14ac:dyDescent="0.25">
      <c r="B10" s="730" t="s">
        <v>70</v>
      </c>
      <c r="C10" s="731"/>
      <c r="D10" s="731"/>
      <c r="E10" s="731"/>
      <c r="F10" s="731"/>
      <c r="G10" s="731"/>
      <c r="H10" s="731"/>
      <c r="I10" s="731"/>
      <c r="J10" s="731"/>
      <c r="K10" s="731"/>
      <c r="L10" s="731"/>
      <c r="M10" s="732"/>
      <c r="N10" s="364"/>
    </row>
    <row r="11" spans="2:15" ht="6" customHeight="1" x14ac:dyDescent="0.25"/>
    <row r="12" spans="2:15" ht="20.100000000000001" customHeight="1" x14ac:dyDescent="0.25">
      <c r="B12" s="733" t="s">
        <v>0</v>
      </c>
      <c r="C12" s="733" t="s">
        <v>71</v>
      </c>
      <c r="D12" s="22" t="s">
        <v>72</v>
      </c>
      <c r="E12" s="11" t="s">
        <v>73</v>
      </c>
      <c r="F12" s="733" t="s">
        <v>74</v>
      </c>
      <c r="G12" s="733"/>
      <c r="H12" s="733" t="s">
        <v>75</v>
      </c>
      <c r="I12" s="733"/>
      <c r="J12" s="733" t="s">
        <v>76</v>
      </c>
      <c r="K12" s="733"/>
      <c r="L12" s="733" t="s">
        <v>77</v>
      </c>
      <c r="M12" s="733"/>
      <c r="N12" s="358" t="s">
        <v>38</v>
      </c>
    </row>
    <row r="13" spans="2:15" ht="20.100000000000001" customHeight="1" x14ac:dyDescent="0.25">
      <c r="B13" s="733"/>
      <c r="C13" s="733"/>
      <c r="D13" s="24" t="s">
        <v>78</v>
      </c>
      <c r="E13" s="11" t="s">
        <v>79</v>
      </c>
      <c r="F13" s="12" t="s">
        <v>5</v>
      </c>
      <c r="G13" s="12" t="s">
        <v>80</v>
      </c>
      <c r="H13" s="12" t="s">
        <v>5</v>
      </c>
      <c r="I13" s="12" t="s">
        <v>80</v>
      </c>
      <c r="J13" s="12" t="s">
        <v>5</v>
      </c>
      <c r="K13" s="12" t="s">
        <v>80</v>
      </c>
      <c r="L13" s="12" t="s">
        <v>5</v>
      </c>
      <c r="M13" s="12" t="s">
        <v>80</v>
      </c>
      <c r="N13" s="359" t="s">
        <v>80</v>
      </c>
    </row>
    <row r="14" spans="2:15" ht="20.100000000000001" customHeight="1" x14ac:dyDescent="0.25">
      <c r="B14" s="701">
        <v>1</v>
      </c>
      <c r="C14" s="703" t="str">
        <f>'ORÇAMENTO sem '!D19</f>
        <v xml:space="preserve">SERVIÇOS PRELIMINARES </v>
      </c>
      <c r="D14" s="705">
        <f>N14/$N$50</f>
        <v>3.1660041184349418E-2</v>
      </c>
      <c r="E14" s="8" t="s">
        <v>73</v>
      </c>
      <c r="F14" s="25"/>
      <c r="G14" s="10"/>
      <c r="H14" s="26"/>
      <c r="I14" s="26"/>
      <c r="J14" s="26"/>
      <c r="K14" s="26"/>
      <c r="L14" s="26"/>
      <c r="M14" s="26"/>
      <c r="N14" s="697">
        <f>'ORÇAMENTO sem '!I24</f>
        <v>9444.119999999999</v>
      </c>
    </row>
    <row r="15" spans="2:15" ht="20.100000000000001" customHeight="1" x14ac:dyDescent="0.25">
      <c r="B15" s="702"/>
      <c r="C15" s="704"/>
      <c r="D15" s="706"/>
      <c r="E15" s="8" t="s">
        <v>79</v>
      </c>
      <c r="F15" s="27">
        <v>0.75</v>
      </c>
      <c r="G15" s="431">
        <f>F15*$N$14</f>
        <v>7083.0899999999992</v>
      </c>
      <c r="H15" s="27">
        <v>0.09</v>
      </c>
      <c r="I15" s="431">
        <f>H15*$N$14</f>
        <v>849.97079999999983</v>
      </c>
      <c r="J15" s="28">
        <v>0.08</v>
      </c>
      <c r="K15" s="431">
        <f>J15*$N$14</f>
        <v>755.52959999999996</v>
      </c>
      <c r="L15" s="28">
        <v>0.08</v>
      </c>
      <c r="M15" s="431">
        <f>L15*$N$14</f>
        <v>755.52959999999996</v>
      </c>
      <c r="N15" s="698"/>
      <c r="O15" s="34">
        <f>G15+I15+K15+M15</f>
        <v>9444.119999999999</v>
      </c>
    </row>
    <row r="16" spans="2:15" ht="20.100000000000001" customHeight="1" x14ac:dyDescent="0.25">
      <c r="B16" s="701">
        <v>2</v>
      </c>
      <c r="C16" s="703" t="str">
        <f>'ORÇAMENTO sem '!D25</f>
        <v>DEMOLIÇÕES</v>
      </c>
      <c r="D16" s="705">
        <f t="shared" ref="D16" si="0">N16/$N$50</f>
        <v>3.5745556001120768E-2</v>
      </c>
      <c r="E16" s="8" t="s">
        <v>73</v>
      </c>
      <c r="F16" s="427"/>
      <c r="G16" s="432"/>
      <c r="H16" s="371"/>
      <c r="I16" s="441"/>
      <c r="J16" s="371"/>
      <c r="K16" s="441"/>
      <c r="L16" s="371"/>
      <c r="M16" s="441"/>
      <c r="N16" s="697">
        <f>'ORÇAMENTO sem '!I32</f>
        <v>10662.82</v>
      </c>
      <c r="O16" s="34">
        <f t="shared" ref="O16:O49" si="1">G16+I16+K16+M16</f>
        <v>0</v>
      </c>
    </row>
    <row r="17" spans="2:15" ht="20.100000000000001" customHeight="1" x14ac:dyDescent="0.25">
      <c r="B17" s="702"/>
      <c r="C17" s="704"/>
      <c r="D17" s="706"/>
      <c r="E17" s="8" t="s">
        <v>79</v>
      </c>
      <c r="F17" s="29">
        <v>1</v>
      </c>
      <c r="G17" s="433">
        <f>F17*N16</f>
        <v>10662.82</v>
      </c>
      <c r="H17" s="426"/>
      <c r="I17" s="436"/>
      <c r="J17" s="426"/>
      <c r="K17" s="436"/>
      <c r="L17" s="426"/>
      <c r="M17" s="436"/>
      <c r="N17" s="698"/>
      <c r="O17" s="34">
        <f t="shared" si="1"/>
        <v>10662.82</v>
      </c>
    </row>
    <row r="18" spans="2:15" ht="20.100000000000001" customHeight="1" x14ac:dyDescent="0.25">
      <c r="B18" s="701">
        <v>3</v>
      </c>
      <c r="C18" s="707" t="str">
        <f>'ORÇAMENTO sem '!D33</f>
        <v>ARRANCAMENTOS / REMOÇÕES</v>
      </c>
      <c r="D18" s="705">
        <f t="shared" ref="D18" si="2">N18/$N$50</f>
        <v>2.0250268037529485E-2</v>
      </c>
      <c r="E18" s="8" t="s">
        <v>73</v>
      </c>
      <c r="F18" s="427"/>
      <c r="G18" s="432"/>
      <c r="H18" s="427"/>
      <c r="I18" s="432"/>
      <c r="J18" s="30"/>
      <c r="K18" s="435"/>
      <c r="L18" s="30"/>
      <c r="M18" s="435"/>
      <c r="N18" s="697">
        <f>'ORÇAMENTO sem '!I49</f>
        <v>6040.6100000000006</v>
      </c>
      <c r="O18" s="34">
        <f t="shared" si="1"/>
        <v>0</v>
      </c>
    </row>
    <row r="19" spans="2:15" ht="20.100000000000001" customHeight="1" x14ac:dyDescent="0.25">
      <c r="B19" s="702"/>
      <c r="C19" s="704"/>
      <c r="D19" s="706"/>
      <c r="E19" s="8" t="s">
        <v>79</v>
      </c>
      <c r="F19" s="31">
        <v>1</v>
      </c>
      <c r="G19" s="434">
        <f>F19*N18</f>
        <v>6040.6100000000006</v>
      </c>
      <c r="H19" s="31"/>
      <c r="I19" s="434"/>
      <c r="J19" s="31"/>
      <c r="K19" s="434"/>
      <c r="L19" s="31"/>
      <c r="M19" s="434"/>
      <c r="N19" s="698"/>
      <c r="O19" s="34">
        <f t="shared" si="1"/>
        <v>6040.6100000000006</v>
      </c>
    </row>
    <row r="20" spans="2:15" ht="20.100000000000001" customHeight="1" x14ac:dyDescent="0.25">
      <c r="B20" s="701">
        <v>4</v>
      </c>
      <c r="C20" s="703" t="str">
        <f>'ORÇAMENTO sem '!D50</f>
        <v xml:space="preserve">ALVENARIAS E TAPAMENTOS </v>
      </c>
      <c r="D20" s="705">
        <f t="shared" ref="D20" si="3">N20/$N$50</f>
        <v>8.7547416544635395E-2</v>
      </c>
      <c r="E20" s="8" t="s">
        <v>73</v>
      </c>
      <c r="F20" s="30"/>
      <c r="G20" s="435"/>
      <c r="H20" s="429"/>
      <c r="I20" s="442"/>
      <c r="J20" s="429"/>
      <c r="K20" s="442"/>
      <c r="L20" s="429"/>
      <c r="M20" s="442"/>
      <c r="N20" s="697">
        <f>'ORÇAMENTO sem '!I55</f>
        <v>26115.200000000001</v>
      </c>
      <c r="O20" s="34">
        <f t="shared" si="1"/>
        <v>0</v>
      </c>
    </row>
    <row r="21" spans="2:15" ht="20.100000000000001" customHeight="1" x14ac:dyDescent="0.25">
      <c r="B21" s="702"/>
      <c r="C21" s="704"/>
      <c r="D21" s="706"/>
      <c r="E21" s="8" t="s">
        <v>79</v>
      </c>
      <c r="F21" s="426">
        <v>0.3</v>
      </c>
      <c r="G21" s="436">
        <f>F21*$N$20</f>
        <v>7834.5599999999995</v>
      </c>
      <c r="H21" s="31">
        <v>0.5</v>
      </c>
      <c r="I21" s="436">
        <f>H21*$N$20</f>
        <v>13057.6</v>
      </c>
      <c r="J21" s="31">
        <v>0.1</v>
      </c>
      <c r="K21" s="436">
        <f>J21*$N$20</f>
        <v>2611.5200000000004</v>
      </c>
      <c r="L21" s="31">
        <v>0.1</v>
      </c>
      <c r="M21" s="436">
        <f>L21*$N$20</f>
        <v>2611.5200000000004</v>
      </c>
      <c r="N21" s="698"/>
      <c r="O21" s="34">
        <f t="shared" si="1"/>
        <v>26115.200000000001</v>
      </c>
    </row>
    <row r="22" spans="2:15" ht="20.100000000000001" customHeight="1" x14ac:dyDescent="0.25">
      <c r="B22" s="701">
        <v>5</v>
      </c>
      <c r="C22" s="703" t="str">
        <f>'ORÇAMENTO sem '!D56</f>
        <v>INSTALAÇÕES ELÉTRICAS</v>
      </c>
      <c r="D22" s="705">
        <f t="shared" ref="D22" si="4">N22/$N$50</f>
        <v>0.10242147963689174</v>
      </c>
      <c r="E22" s="8" t="s">
        <v>73</v>
      </c>
      <c r="F22" s="32"/>
      <c r="G22" s="437"/>
      <c r="H22" s="32"/>
      <c r="I22" s="437"/>
      <c r="J22" s="32"/>
      <c r="K22" s="437"/>
      <c r="L22" s="427"/>
      <c r="M22" s="432"/>
      <c r="N22" s="697">
        <f>'ORÇAMENTO sem '!I82</f>
        <v>30552.100000000006</v>
      </c>
      <c r="O22" s="34">
        <f t="shared" si="1"/>
        <v>0</v>
      </c>
    </row>
    <row r="23" spans="2:15" ht="20.100000000000001" customHeight="1" x14ac:dyDescent="0.25">
      <c r="B23" s="702"/>
      <c r="C23" s="704"/>
      <c r="D23" s="706"/>
      <c r="E23" s="8" t="s">
        <v>79</v>
      </c>
      <c r="F23" s="426">
        <v>0.3</v>
      </c>
      <c r="G23" s="436">
        <f>F23*$N$22</f>
        <v>9165.630000000001</v>
      </c>
      <c r="H23" s="426">
        <v>0.5</v>
      </c>
      <c r="I23" s="436">
        <f>H23*$N$22</f>
        <v>15276.050000000003</v>
      </c>
      <c r="J23" s="426">
        <v>0.1</v>
      </c>
      <c r="K23" s="436">
        <f>J23*$N$22</f>
        <v>3055.2100000000009</v>
      </c>
      <c r="L23" s="29">
        <v>0.1</v>
      </c>
      <c r="M23" s="436">
        <f>L23*$N$22</f>
        <v>3055.2100000000009</v>
      </c>
      <c r="N23" s="698"/>
      <c r="O23" s="34">
        <f t="shared" si="1"/>
        <v>30552.100000000006</v>
      </c>
    </row>
    <row r="24" spans="2:15" ht="20.100000000000001" customHeight="1" x14ac:dyDescent="0.25">
      <c r="B24" s="701">
        <v>6</v>
      </c>
      <c r="C24" s="703" t="str">
        <f>'ORÇAMENTO sem '!D84</f>
        <v>ESGOTO SANITÁRIO</v>
      </c>
      <c r="D24" s="705">
        <f t="shared" ref="D24" si="5">N24/$N$50</f>
        <v>1.4950798494041764E-2</v>
      </c>
      <c r="E24" s="8" t="s">
        <v>73</v>
      </c>
      <c r="F24" s="32"/>
      <c r="G24" s="437"/>
      <c r="H24" s="32"/>
      <c r="I24" s="437"/>
      <c r="J24" s="32"/>
      <c r="K24" s="437"/>
      <c r="L24" s="32"/>
      <c r="M24" s="437"/>
      <c r="N24" s="697">
        <f>'ORÇAMENTO sem '!I97</f>
        <v>4459.79</v>
      </c>
      <c r="O24" s="34">
        <f t="shared" si="1"/>
        <v>0</v>
      </c>
    </row>
    <row r="25" spans="2:15" ht="20.100000000000001" customHeight="1" x14ac:dyDescent="0.25">
      <c r="B25" s="702"/>
      <c r="C25" s="704"/>
      <c r="D25" s="706"/>
      <c r="E25" s="8" t="s">
        <v>79</v>
      </c>
      <c r="F25" s="426">
        <v>0.3</v>
      </c>
      <c r="G25" s="436">
        <f>F25*$N$24</f>
        <v>1337.9369999999999</v>
      </c>
      <c r="H25" s="426">
        <v>0.5</v>
      </c>
      <c r="I25" s="436">
        <f>H25*$N$24</f>
        <v>2229.895</v>
      </c>
      <c r="J25" s="426">
        <v>0.2</v>
      </c>
      <c r="K25" s="436">
        <f>J25*$N$24</f>
        <v>891.95800000000008</v>
      </c>
      <c r="L25" s="426"/>
      <c r="M25" s="436"/>
      <c r="N25" s="698"/>
      <c r="O25" s="34">
        <f t="shared" si="1"/>
        <v>4459.79</v>
      </c>
    </row>
    <row r="26" spans="2:15" ht="20.100000000000001" customHeight="1" x14ac:dyDescent="0.25">
      <c r="B26" s="701">
        <v>7</v>
      </c>
      <c r="C26" s="703" t="str">
        <f>'ORÇAMENTO sem '!D98</f>
        <v>INSTALAÇÕES HIDRÁULICAS - ÁGUA</v>
      </c>
      <c r="D26" s="705">
        <f t="shared" ref="D26" si="6">N26/$N$50</f>
        <v>2.4149995350283868E-2</v>
      </c>
      <c r="E26" s="8" t="s">
        <v>73</v>
      </c>
      <c r="F26" s="32"/>
      <c r="G26" s="437"/>
      <c r="H26" s="427"/>
      <c r="I26" s="432"/>
      <c r="J26" s="427"/>
      <c r="K26" s="432"/>
      <c r="L26" s="427"/>
      <c r="M26" s="432"/>
      <c r="N26" s="697">
        <f>'ORÇAMENTO sem '!I126</f>
        <v>7203.8899999999985</v>
      </c>
      <c r="O26" s="34">
        <f t="shared" si="1"/>
        <v>0</v>
      </c>
    </row>
    <row r="27" spans="2:15" ht="20.100000000000001" customHeight="1" x14ac:dyDescent="0.25">
      <c r="B27" s="702"/>
      <c r="C27" s="704"/>
      <c r="D27" s="706"/>
      <c r="E27" s="8" t="s">
        <v>79</v>
      </c>
      <c r="F27" s="426">
        <v>0.3</v>
      </c>
      <c r="G27" s="436">
        <f>F27*$N$26</f>
        <v>2161.1669999999995</v>
      </c>
      <c r="H27" s="29">
        <v>0.5</v>
      </c>
      <c r="I27" s="436">
        <f>H27*$N$26</f>
        <v>3601.9449999999993</v>
      </c>
      <c r="J27" s="29">
        <v>0.1</v>
      </c>
      <c r="K27" s="436">
        <f>J27*$N$26</f>
        <v>720.3889999999999</v>
      </c>
      <c r="L27" s="29">
        <v>0.1</v>
      </c>
      <c r="M27" s="436">
        <f>L27*$N$26</f>
        <v>720.3889999999999</v>
      </c>
      <c r="N27" s="698"/>
      <c r="O27" s="34">
        <f t="shared" si="1"/>
        <v>7203.8899999999994</v>
      </c>
    </row>
    <row r="28" spans="2:15" ht="31.5" customHeight="1" x14ac:dyDescent="0.25">
      <c r="B28" s="701">
        <v>8</v>
      </c>
      <c r="C28" s="703" t="str">
        <f>'ORÇAMENTO sem '!D127</f>
        <v>SERVIÇOS DIVERSOS PARA INSTALAÇÕES EM PISO   (ELÉTR, SANITÁRIA e ÁGUA)</v>
      </c>
      <c r="D28" s="705">
        <f t="shared" ref="D28" si="7">N28/$N$50</f>
        <v>8.2652308039302222E-4</v>
      </c>
      <c r="E28" s="8" t="s">
        <v>73</v>
      </c>
      <c r="F28" s="32"/>
      <c r="G28" s="437"/>
      <c r="H28" s="32"/>
      <c r="I28" s="437"/>
      <c r="J28" s="32"/>
      <c r="K28" s="437"/>
      <c r="L28" s="427"/>
      <c r="M28" s="432"/>
      <c r="N28" s="697">
        <f>'ORÇAMENTO sem '!I132</f>
        <v>246.54999999999998</v>
      </c>
      <c r="O28" s="34">
        <f t="shared" si="1"/>
        <v>0</v>
      </c>
    </row>
    <row r="29" spans="2:15" ht="24" customHeight="1" x14ac:dyDescent="0.25">
      <c r="B29" s="702"/>
      <c r="C29" s="704"/>
      <c r="D29" s="706"/>
      <c r="E29" s="8" t="s">
        <v>79</v>
      </c>
      <c r="F29" s="426"/>
      <c r="G29" s="436"/>
      <c r="H29" s="426">
        <v>0.4</v>
      </c>
      <c r="I29" s="436">
        <f>H29*$N$28</f>
        <v>98.62</v>
      </c>
      <c r="J29" s="426">
        <v>0.6</v>
      </c>
      <c r="K29" s="436">
        <f>J29*$N$28</f>
        <v>147.92999999999998</v>
      </c>
      <c r="L29" s="29"/>
      <c r="M29" s="433"/>
      <c r="N29" s="698"/>
      <c r="O29" s="34">
        <f t="shared" si="1"/>
        <v>246.54999999999998</v>
      </c>
    </row>
    <row r="30" spans="2:15" ht="24" customHeight="1" x14ac:dyDescent="0.25">
      <c r="B30" s="701">
        <v>9</v>
      </c>
      <c r="C30" s="703" t="str">
        <f>'ORÇAMENTO sem '!D133</f>
        <v>OUTRAS INSTALAÇÕES</v>
      </c>
      <c r="D30" s="705">
        <f t="shared" ref="D30" si="8">N30/$N$50</f>
        <v>5.7982999404152472E-3</v>
      </c>
      <c r="E30" s="8" t="s">
        <v>73</v>
      </c>
      <c r="F30" s="33"/>
      <c r="G30" s="438"/>
      <c r="H30" s="33"/>
      <c r="I30" s="438"/>
      <c r="J30" s="33"/>
      <c r="K30" s="438"/>
      <c r="L30" s="430"/>
      <c r="M30" s="443"/>
      <c r="N30" s="697">
        <f>'ORÇAMENTO sem '!I138</f>
        <v>1729.6200000000001</v>
      </c>
      <c r="O30" s="34">
        <f t="shared" si="1"/>
        <v>0</v>
      </c>
    </row>
    <row r="31" spans="2:15" ht="20.100000000000001" customHeight="1" x14ac:dyDescent="0.25">
      <c r="B31" s="702"/>
      <c r="C31" s="704"/>
      <c r="D31" s="706"/>
      <c r="E31" s="8" t="s">
        <v>79</v>
      </c>
      <c r="F31" s="428"/>
      <c r="G31" s="439"/>
      <c r="H31" s="428"/>
      <c r="I31" s="439"/>
      <c r="J31" s="428"/>
      <c r="K31" s="439"/>
      <c r="L31" s="33">
        <v>1</v>
      </c>
      <c r="M31" s="438">
        <f>L31*N30</f>
        <v>1729.6200000000001</v>
      </c>
      <c r="N31" s="698"/>
      <c r="O31" s="34">
        <f t="shared" si="1"/>
        <v>1729.6200000000001</v>
      </c>
    </row>
    <row r="32" spans="2:15" ht="20.100000000000001" customHeight="1" x14ac:dyDescent="0.25">
      <c r="B32" s="701">
        <v>10</v>
      </c>
      <c r="C32" s="703" t="str">
        <f>'ORÇAMENTO sem '!D139</f>
        <v>APARELHIOS SANITÁRIOS E METAIS</v>
      </c>
      <c r="D32" s="705">
        <f t="shared" ref="D32" si="9">N32/$N$50</f>
        <v>0.12221783883205568</v>
      </c>
      <c r="E32" s="8" t="s">
        <v>73</v>
      </c>
      <c r="F32" s="32"/>
      <c r="G32" s="437"/>
      <c r="H32" s="32"/>
      <c r="I32" s="437"/>
      <c r="J32" s="32"/>
      <c r="K32" s="437"/>
      <c r="L32" s="32"/>
      <c r="M32" s="437"/>
      <c r="N32" s="697">
        <f>'ORÇAMENTO sem '!I170</f>
        <v>36457.30999999999</v>
      </c>
      <c r="O32" s="34">
        <f t="shared" si="1"/>
        <v>0</v>
      </c>
    </row>
    <row r="33" spans="2:15" ht="20.100000000000001" customHeight="1" x14ac:dyDescent="0.25">
      <c r="B33" s="702"/>
      <c r="C33" s="704"/>
      <c r="D33" s="706"/>
      <c r="E33" s="8" t="s">
        <v>79</v>
      </c>
      <c r="F33" s="426"/>
      <c r="G33" s="436"/>
      <c r="H33" s="426"/>
      <c r="I33" s="436"/>
      <c r="J33" s="426">
        <v>0.6</v>
      </c>
      <c r="K33" s="436">
        <f>J33*$N$32</f>
        <v>21874.385999999995</v>
      </c>
      <c r="L33" s="426">
        <v>0.4</v>
      </c>
      <c r="M33" s="436">
        <f>L33*$N$32</f>
        <v>14582.923999999997</v>
      </c>
      <c r="N33" s="698"/>
      <c r="O33" s="34">
        <f t="shared" si="1"/>
        <v>36457.30999999999</v>
      </c>
    </row>
    <row r="34" spans="2:15" ht="20.100000000000001" customHeight="1" x14ac:dyDescent="0.25">
      <c r="B34" s="701">
        <v>11</v>
      </c>
      <c r="C34" s="703" t="str">
        <f>'ORÇAMENTO sem '!D171</f>
        <v xml:space="preserve">ESQUADRIAS DE ALUMÍNIO  E FERRAGENS </v>
      </c>
      <c r="D34" s="705">
        <f t="shared" ref="D34" si="10">N34/$N$50</f>
        <v>0.15077453811422939</v>
      </c>
      <c r="E34" s="8" t="s">
        <v>73</v>
      </c>
      <c r="F34" s="32"/>
      <c r="G34" s="437"/>
      <c r="H34" s="32"/>
      <c r="I34" s="437"/>
      <c r="J34" s="32"/>
      <c r="K34" s="437"/>
      <c r="L34" s="32"/>
      <c r="M34" s="437"/>
      <c r="N34" s="699">
        <f>'ORÇAMENTO sem '!I189</f>
        <v>44975.71</v>
      </c>
      <c r="O34" s="34">
        <f t="shared" si="1"/>
        <v>0</v>
      </c>
    </row>
    <row r="35" spans="2:15" ht="20.100000000000001" customHeight="1" x14ac:dyDescent="0.25">
      <c r="B35" s="702"/>
      <c r="C35" s="704"/>
      <c r="D35" s="706"/>
      <c r="E35" s="8" t="s">
        <v>79</v>
      </c>
      <c r="F35" s="428"/>
      <c r="G35" s="439"/>
      <c r="H35" s="428"/>
      <c r="I35" s="439"/>
      <c r="J35" s="428">
        <v>0.6</v>
      </c>
      <c r="K35" s="439">
        <f>J35*$N$34</f>
        <v>26985.425999999999</v>
      </c>
      <c r="L35" s="428">
        <v>0.4</v>
      </c>
      <c r="M35" s="439">
        <f>L35*$N$34</f>
        <v>17990.284</v>
      </c>
      <c r="N35" s="700"/>
      <c r="O35" s="34">
        <f t="shared" si="1"/>
        <v>44975.71</v>
      </c>
    </row>
    <row r="36" spans="2:15" ht="20.100000000000001" customHeight="1" x14ac:dyDescent="0.25">
      <c r="B36" s="701">
        <v>12</v>
      </c>
      <c r="C36" s="707" t="str">
        <f>'ORÇAMENTO sem '!D190</f>
        <v>ESQUADRIAS DE VIDRO E FERRAGENS</v>
      </c>
      <c r="D36" s="705">
        <f t="shared" ref="D36" si="11">N36/$N$50</f>
        <v>1.0151533812956977E-2</v>
      </c>
      <c r="E36" s="8" t="s">
        <v>73</v>
      </c>
      <c r="F36" s="32"/>
      <c r="G36" s="437"/>
      <c r="H36" s="32"/>
      <c r="I36" s="437"/>
      <c r="J36" s="32"/>
      <c r="K36" s="437"/>
      <c r="L36" s="32"/>
      <c r="M36" s="437"/>
      <c r="N36" s="699">
        <f>'ORÇAMENTO sem '!I194</f>
        <v>3028.1800000000003</v>
      </c>
      <c r="O36" s="34">
        <f t="shared" si="1"/>
        <v>0</v>
      </c>
    </row>
    <row r="37" spans="2:15" ht="20.100000000000001" customHeight="1" x14ac:dyDescent="0.25">
      <c r="B37" s="702"/>
      <c r="C37" s="704"/>
      <c r="D37" s="706"/>
      <c r="E37" s="8" t="s">
        <v>79</v>
      </c>
      <c r="F37" s="426"/>
      <c r="G37" s="436"/>
      <c r="H37" s="426"/>
      <c r="I37" s="436"/>
      <c r="J37" s="426">
        <v>0.6</v>
      </c>
      <c r="K37" s="436">
        <f>J37*$N$36</f>
        <v>1816.9080000000001</v>
      </c>
      <c r="L37" s="426">
        <v>0.4</v>
      </c>
      <c r="M37" s="436">
        <f>L37*$N$36</f>
        <v>1211.2720000000002</v>
      </c>
      <c r="N37" s="700"/>
      <c r="O37" s="34">
        <f t="shared" si="1"/>
        <v>3028.1800000000003</v>
      </c>
    </row>
    <row r="38" spans="2:15" ht="20.100000000000001" customHeight="1" x14ac:dyDescent="0.25">
      <c r="B38" s="701">
        <v>13</v>
      </c>
      <c r="C38" s="707" t="str">
        <f>'ORÇAMENTO sem '!D195</f>
        <v>VIDROS</v>
      </c>
      <c r="D38" s="705">
        <f t="shared" ref="D38" si="12">N38/$N$50</f>
        <v>5.6371522443110387E-3</v>
      </c>
      <c r="E38" s="8" t="s">
        <v>73</v>
      </c>
      <c r="F38" s="32"/>
      <c r="G38" s="437"/>
      <c r="H38" s="32"/>
      <c r="I38" s="437"/>
      <c r="J38" s="32"/>
      <c r="K38" s="437"/>
      <c r="L38" s="32"/>
      <c r="M38" s="437"/>
      <c r="N38" s="697">
        <f>'ORÇAMENTO sem '!I197</f>
        <v>1681.55</v>
      </c>
      <c r="O38" s="34">
        <f t="shared" si="1"/>
        <v>0</v>
      </c>
    </row>
    <row r="39" spans="2:15" ht="20.100000000000001" customHeight="1" x14ac:dyDescent="0.25">
      <c r="B39" s="702"/>
      <c r="C39" s="704"/>
      <c r="D39" s="706"/>
      <c r="E39" s="8" t="s">
        <v>79</v>
      </c>
      <c r="F39" s="426"/>
      <c r="G39" s="436"/>
      <c r="H39" s="426"/>
      <c r="I39" s="436"/>
      <c r="J39" s="426">
        <v>0.5</v>
      </c>
      <c r="K39" s="436">
        <f>J39*$N$38</f>
        <v>840.77499999999998</v>
      </c>
      <c r="L39" s="426">
        <v>0.5</v>
      </c>
      <c r="M39" s="436">
        <f>L39*$N$38</f>
        <v>840.77499999999998</v>
      </c>
      <c r="N39" s="698"/>
      <c r="O39" s="34">
        <f t="shared" si="1"/>
        <v>1681.55</v>
      </c>
    </row>
    <row r="40" spans="2:15" ht="20.100000000000001" customHeight="1" x14ac:dyDescent="0.25">
      <c r="B40" s="701">
        <v>14</v>
      </c>
      <c r="C40" s="707" t="str">
        <f>'ORÇAMENTO sem '!D198</f>
        <v xml:space="preserve">REVESTIMENTOS DE PAREDES </v>
      </c>
      <c r="D40" s="705">
        <f t="shared" ref="D40" si="13">N40/$N$50</f>
        <v>9.4989342528797927E-2</v>
      </c>
      <c r="E40" s="8" t="s">
        <v>73</v>
      </c>
      <c r="F40" s="32"/>
      <c r="G40" s="437"/>
      <c r="H40" s="32"/>
      <c r="I40" s="437"/>
      <c r="J40" s="32"/>
      <c r="K40" s="437"/>
      <c r="L40" s="32"/>
      <c r="M40" s="437"/>
      <c r="N40" s="697">
        <f>'ORÇAMENTO sem '!I203</f>
        <v>28335.11</v>
      </c>
      <c r="O40" s="34">
        <f t="shared" si="1"/>
        <v>0</v>
      </c>
    </row>
    <row r="41" spans="2:15" ht="20.100000000000001" customHeight="1" x14ac:dyDescent="0.25">
      <c r="B41" s="702"/>
      <c r="C41" s="704"/>
      <c r="D41" s="706"/>
      <c r="E41" s="8" t="s">
        <v>79</v>
      </c>
      <c r="F41" s="426"/>
      <c r="G41" s="436"/>
      <c r="H41" s="426">
        <v>0.6</v>
      </c>
      <c r="I41" s="436">
        <f>H41*$N$40</f>
        <v>17001.065999999999</v>
      </c>
      <c r="J41" s="426">
        <v>0.4</v>
      </c>
      <c r="K41" s="436">
        <f>J41*$N$40</f>
        <v>11334.044000000002</v>
      </c>
      <c r="L41" s="426"/>
      <c r="M41" s="436"/>
      <c r="N41" s="698"/>
      <c r="O41" s="34">
        <f t="shared" si="1"/>
        <v>28335.11</v>
      </c>
    </row>
    <row r="42" spans="2:15" ht="20.100000000000001" customHeight="1" x14ac:dyDescent="0.25">
      <c r="B42" s="701">
        <v>15</v>
      </c>
      <c r="C42" s="707" t="str">
        <f>'ORÇAMENTO sem '!D204</f>
        <v>REVESTIMENTO DE PISOS</v>
      </c>
      <c r="D42" s="705">
        <f t="shared" ref="D42" si="14">N42/$N$50</f>
        <v>6.946283676666988E-2</v>
      </c>
      <c r="E42" s="8" t="s">
        <v>73</v>
      </c>
      <c r="F42" s="428"/>
      <c r="G42" s="439"/>
      <c r="H42" s="428"/>
      <c r="I42" s="439"/>
      <c r="J42" s="428"/>
      <c r="K42" s="439"/>
      <c r="L42" s="428"/>
      <c r="M42" s="439"/>
      <c r="N42" s="697">
        <f>'ORÇAMENTO sem '!I208</f>
        <v>20720.609999999997</v>
      </c>
      <c r="O42" s="34">
        <f t="shared" si="1"/>
        <v>0</v>
      </c>
    </row>
    <row r="43" spans="2:15" ht="20.100000000000001" customHeight="1" x14ac:dyDescent="0.25">
      <c r="B43" s="702"/>
      <c r="C43" s="704"/>
      <c r="D43" s="706"/>
      <c r="E43" s="8" t="s">
        <v>79</v>
      </c>
      <c r="F43" s="426"/>
      <c r="G43" s="436"/>
      <c r="H43" s="426">
        <v>0.5</v>
      </c>
      <c r="I43" s="436">
        <f>H43*$N$42</f>
        <v>10360.304999999998</v>
      </c>
      <c r="J43" s="426">
        <v>0.5</v>
      </c>
      <c r="K43" s="436">
        <f>J43*$N$42</f>
        <v>10360.304999999998</v>
      </c>
      <c r="L43" s="426"/>
      <c r="M43" s="436"/>
      <c r="N43" s="698"/>
      <c r="O43" s="34">
        <f t="shared" si="1"/>
        <v>20720.609999999997</v>
      </c>
    </row>
    <row r="44" spans="2:15" ht="20.100000000000001" customHeight="1" x14ac:dyDescent="0.25">
      <c r="B44" s="701">
        <v>16</v>
      </c>
      <c r="C44" s="707" t="str">
        <f>'ORÇAMENTO sem '!D209</f>
        <v>RODAPÉS, SOLEIRA , PEITORIS</v>
      </c>
      <c r="D44" s="705">
        <f t="shared" ref="D44" si="15">N44/$N$50</f>
        <v>3.1569192368779968E-2</v>
      </c>
      <c r="E44" s="8" t="s">
        <v>73</v>
      </c>
      <c r="F44" s="428"/>
      <c r="G44" s="439"/>
      <c r="H44" s="428"/>
      <c r="I44" s="439"/>
      <c r="J44" s="428"/>
      <c r="K44" s="439"/>
      <c r="L44" s="428"/>
      <c r="M44" s="439"/>
      <c r="N44" s="697">
        <f>'ORÇAMENTO sem '!I215</f>
        <v>9417.0200000000023</v>
      </c>
      <c r="O44" s="34">
        <f t="shared" si="1"/>
        <v>0</v>
      </c>
    </row>
    <row r="45" spans="2:15" ht="20.100000000000001" customHeight="1" x14ac:dyDescent="0.25">
      <c r="B45" s="702"/>
      <c r="C45" s="704"/>
      <c r="D45" s="706"/>
      <c r="E45" s="8" t="s">
        <v>79</v>
      </c>
      <c r="F45" s="426"/>
      <c r="G45" s="436"/>
      <c r="H45" s="426"/>
      <c r="I45" s="436"/>
      <c r="J45" s="426">
        <v>0.7</v>
      </c>
      <c r="K45" s="436">
        <f>J45*$N$44</f>
        <v>6591.9140000000016</v>
      </c>
      <c r="L45" s="426">
        <v>0.3</v>
      </c>
      <c r="M45" s="436">
        <f>L45*$N$44</f>
        <v>2825.1060000000007</v>
      </c>
      <c r="N45" s="698"/>
      <c r="O45" s="34">
        <f t="shared" si="1"/>
        <v>9417.0200000000023</v>
      </c>
    </row>
    <row r="46" spans="2:15" ht="20.100000000000001" customHeight="1" x14ac:dyDescent="0.25">
      <c r="B46" s="701">
        <v>17</v>
      </c>
      <c r="C46" s="707" t="str">
        <f>'ORÇAMENTO sem '!D216</f>
        <v>PINTURA</v>
      </c>
      <c r="D46" s="705">
        <f t="shared" ref="D46" si="16">N46/$N$50</f>
        <v>0.16774486219776766</v>
      </c>
      <c r="E46" s="8" t="s">
        <v>73</v>
      </c>
      <c r="F46" s="428"/>
      <c r="G46" s="439"/>
      <c r="H46" s="428"/>
      <c r="I46" s="439"/>
      <c r="J46" s="428"/>
      <c r="K46" s="439"/>
      <c r="L46" s="428"/>
      <c r="M46" s="439"/>
      <c r="N46" s="697">
        <f>'ORÇAMENTO sem '!I225</f>
        <v>50037.919999999998</v>
      </c>
      <c r="O46" s="34">
        <f t="shared" si="1"/>
        <v>0</v>
      </c>
    </row>
    <row r="47" spans="2:15" ht="20.100000000000001" customHeight="1" x14ac:dyDescent="0.25">
      <c r="B47" s="702"/>
      <c r="C47" s="704"/>
      <c r="D47" s="706"/>
      <c r="E47" s="8" t="s">
        <v>79</v>
      </c>
      <c r="F47" s="428"/>
      <c r="G47" s="439"/>
      <c r="H47" s="428"/>
      <c r="I47" s="439"/>
      <c r="J47" s="428">
        <v>0.6</v>
      </c>
      <c r="K47" s="439">
        <f>J47*$N$46</f>
        <v>30022.751999999997</v>
      </c>
      <c r="L47" s="428">
        <v>0.4</v>
      </c>
      <c r="M47" s="439">
        <f>L47*$N$46</f>
        <v>20015.168000000001</v>
      </c>
      <c r="N47" s="698"/>
      <c r="O47" s="34">
        <f t="shared" si="1"/>
        <v>50037.919999999998</v>
      </c>
    </row>
    <row r="48" spans="2:15" ht="20.100000000000001" customHeight="1" x14ac:dyDescent="0.25">
      <c r="B48" s="701">
        <v>18</v>
      </c>
      <c r="C48" s="703" t="str">
        <f>'ORÇAMENTO sem '!D226</f>
        <v>SERVIÇOS COMPLEMENTARES</v>
      </c>
      <c r="D48" s="705">
        <f t="shared" ref="D48" si="17">N48/$N$50</f>
        <v>2.4102324864771041E-2</v>
      </c>
      <c r="E48" s="8" t="s">
        <v>73</v>
      </c>
      <c r="F48" s="32"/>
      <c r="G48" s="437"/>
      <c r="H48" s="32"/>
      <c r="I48" s="437"/>
      <c r="J48" s="32"/>
      <c r="K48" s="437"/>
      <c r="L48" s="32"/>
      <c r="M48" s="437"/>
      <c r="N48" s="697">
        <f>'ORÇAMENTO sem '!I232</f>
        <v>7189.67</v>
      </c>
      <c r="O48" s="34">
        <f t="shared" si="1"/>
        <v>0</v>
      </c>
    </row>
    <row r="49" spans="2:15" ht="20.100000000000001" customHeight="1" x14ac:dyDescent="0.25">
      <c r="B49" s="702"/>
      <c r="C49" s="704"/>
      <c r="D49" s="706"/>
      <c r="E49" s="8" t="s">
        <v>79</v>
      </c>
      <c r="F49" s="426"/>
      <c r="G49" s="436"/>
      <c r="H49" s="426"/>
      <c r="I49" s="436"/>
      <c r="J49" s="426"/>
      <c r="K49" s="436"/>
      <c r="L49" s="426">
        <v>1</v>
      </c>
      <c r="M49" s="436">
        <f>L49*N48</f>
        <v>7189.67</v>
      </c>
      <c r="N49" s="698"/>
      <c r="O49" s="34">
        <f t="shared" si="1"/>
        <v>7189.67</v>
      </c>
    </row>
    <row r="50" spans="2:15" ht="20.100000000000001" customHeight="1" x14ac:dyDescent="0.25">
      <c r="B50" s="13"/>
      <c r="C50" s="13" t="s">
        <v>38</v>
      </c>
      <c r="D50" s="14">
        <f>SUM(D14:D49)</f>
        <v>1.0000000000000002</v>
      </c>
      <c r="E50" s="13" t="s">
        <v>79</v>
      </c>
      <c r="F50" s="369">
        <f>G50/N50</f>
        <v>0.14846176193466817</v>
      </c>
      <c r="G50" s="440">
        <f>SUM(G14:G49)</f>
        <v>44285.814000000006</v>
      </c>
      <c r="H50" s="369">
        <f>I50/N50</f>
        <v>0.20943988185228873</v>
      </c>
      <c r="I50" s="440">
        <f>SUM(I14:I49)</f>
        <v>62475.451800000003</v>
      </c>
      <c r="J50" s="369">
        <f>K50/N50</f>
        <v>0.39560819594433466</v>
      </c>
      <c r="K50" s="440">
        <f>SUM(K14:K49)</f>
        <v>118009.0466</v>
      </c>
      <c r="L50" s="369">
        <f>M50/N50</f>
        <v>0.24649016026870871</v>
      </c>
      <c r="M50" s="440">
        <f>SUM(M14:M49)</f>
        <v>73527.467599999989</v>
      </c>
      <c r="N50" s="368">
        <f>SUM(N14:N48)</f>
        <v>298297.77999999991</v>
      </c>
      <c r="O50" s="34">
        <f>SUM(O15:O49)</f>
        <v>298297.77999999991</v>
      </c>
    </row>
    <row r="51" spans="2:15" s="35" customFormat="1" ht="15" customHeight="1" x14ac:dyDescent="0.25">
      <c r="N51" s="365"/>
    </row>
    <row r="52" spans="2:15" ht="15" customHeight="1" x14ac:dyDescent="0.25">
      <c r="B52" s="710" t="s">
        <v>120</v>
      </c>
      <c r="C52" s="711"/>
      <c r="D52" s="712"/>
      <c r="E52" s="8" t="s">
        <v>5</v>
      </c>
      <c r="F52" s="719">
        <f>F50</f>
        <v>0.14846176193466817</v>
      </c>
      <c r="G52" s="720"/>
      <c r="H52" s="719">
        <f>H50</f>
        <v>0.20943988185228873</v>
      </c>
      <c r="I52" s="720"/>
      <c r="J52" s="719">
        <f>J50</f>
        <v>0.39560819594433466</v>
      </c>
      <c r="K52" s="720"/>
      <c r="L52" s="719">
        <f>L50</f>
        <v>0.24649016026870871</v>
      </c>
      <c r="M52" s="720"/>
      <c r="N52" s="366"/>
    </row>
    <row r="53" spans="2:15" ht="15" customHeight="1" x14ac:dyDescent="0.25">
      <c r="B53" s="713"/>
      <c r="C53" s="714"/>
      <c r="D53" s="715"/>
      <c r="E53" s="8" t="s">
        <v>80</v>
      </c>
      <c r="F53" s="721">
        <f>G50</f>
        <v>44285.814000000006</v>
      </c>
      <c r="G53" s="721"/>
      <c r="H53" s="721">
        <f>I50</f>
        <v>62475.451800000003</v>
      </c>
      <c r="I53" s="721"/>
      <c r="J53" s="721">
        <f>K50</f>
        <v>118009.0466</v>
      </c>
      <c r="K53" s="721"/>
      <c r="L53" s="721">
        <f>M50</f>
        <v>73527.467599999989</v>
      </c>
      <c r="M53" s="721"/>
      <c r="N53" s="367"/>
    </row>
    <row r="54" spans="2:15" ht="15" customHeight="1" x14ac:dyDescent="0.25">
      <c r="B54" s="710" t="s">
        <v>81</v>
      </c>
      <c r="C54" s="711"/>
      <c r="D54" s="712"/>
      <c r="E54" s="8" t="s">
        <v>5</v>
      </c>
      <c r="F54" s="716">
        <f>F52</f>
        <v>0.14846176193466817</v>
      </c>
      <c r="G54" s="716"/>
      <c r="H54" s="716">
        <f>F54+H52</f>
        <v>0.35790164378695688</v>
      </c>
      <c r="I54" s="716"/>
      <c r="J54" s="716">
        <f>H54+J52</f>
        <v>0.7535098397312916</v>
      </c>
      <c r="K54" s="716"/>
      <c r="L54" s="716">
        <f>J54+L52</f>
        <v>1.0000000000000002</v>
      </c>
      <c r="M54" s="716"/>
      <c r="N54" s="366"/>
    </row>
    <row r="55" spans="2:15" ht="15" customHeight="1" x14ac:dyDescent="0.25">
      <c r="B55" s="713"/>
      <c r="C55" s="714"/>
      <c r="D55" s="715"/>
      <c r="E55" s="8" t="s">
        <v>80</v>
      </c>
      <c r="F55" s="717">
        <f>F53</f>
        <v>44285.814000000006</v>
      </c>
      <c r="G55" s="718"/>
      <c r="H55" s="717">
        <f>F55+H53</f>
        <v>106761.26580000001</v>
      </c>
      <c r="I55" s="718"/>
      <c r="J55" s="717">
        <f>H55+J53</f>
        <v>224770.3124</v>
      </c>
      <c r="K55" s="718"/>
      <c r="L55" s="717">
        <f>J55+L53</f>
        <v>298297.77999999997</v>
      </c>
      <c r="M55" s="718"/>
      <c r="N55" s="367"/>
    </row>
  </sheetData>
  <mergeCells count="109">
    <mergeCell ref="B34:B35"/>
    <mergeCell ref="C34:C35"/>
    <mergeCell ref="D34:D35"/>
    <mergeCell ref="L5:M5"/>
    <mergeCell ref="D5:J5"/>
    <mergeCell ref="L6:M6"/>
    <mergeCell ref="L7:M7"/>
    <mergeCell ref="L8:M8"/>
    <mergeCell ref="D6:J6"/>
    <mergeCell ref="D7:J7"/>
    <mergeCell ref="D8:J8"/>
    <mergeCell ref="B10:M10"/>
    <mergeCell ref="B12:B13"/>
    <mergeCell ref="C12:C13"/>
    <mergeCell ref="F12:G12"/>
    <mergeCell ref="H12:I12"/>
    <mergeCell ref="J12:K12"/>
    <mergeCell ref="L12:M12"/>
    <mergeCell ref="D2:I2"/>
    <mergeCell ref="D3:I3"/>
    <mergeCell ref="D4:I4"/>
    <mergeCell ref="B54:D55"/>
    <mergeCell ref="F54:G54"/>
    <mergeCell ref="H54:I54"/>
    <mergeCell ref="J54:K54"/>
    <mergeCell ref="L54:M54"/>
    <mergeCell ref="F55:G55"/>
    <mergeCell ref="H55:I55"/>
    <mergeCell ref="J55:K55"/>
    <mergeCell ref="L55:M55"/>
    <mergeCell ref="B52:D53"/>
    <mergeCell ref="F52:G52"/>
    <mergeCell ref="H52:I52"/>
    <mergeCell ref="J52:K52"/>
    <mergeCell ref="L52:M52"/>
    <mergeCell ref="F53:G53"/>
    <mergeCell ref="H53:I53"/>
    <mergeCell ref="J53:K53"/>
    <mergeCell ref="L53:M53"/>
    <mergeCell ref="B26:B27"/>
    <mergeCell ref="D48:D49"/>
    <mergeCell ref="B38:B39"/>
    <mergeCell ref="D38:D39"/>
    <mergeCell ref="B40:B41"/>
    <mergeCell ref="C40:C41"/>
    <mergeCell ref="D40:D41"/>
    <mergeCell ref="B20:B21"/>
    <mergeCell ref="C20:C21"/>
    <mergeCell ref="D20:D21"/>
    <mergeCell ref="B22:B23"/>
    <mergeCell ref="C22:C23"/>
    <mergeCell ref="D22:D23"/>
    <mergeCell ref="B24:B25"/>
    <mergeCell ref="C24:C25"/>
    <mergeCell ref="D24:D25"/>
    <mergeCell ref="B36:B37"/>
    <mergeCell ref="C36:C37"/>
    <mergeCell ref="D36:D37"/>
    <mergeCell ref="B32:B33"/>
    <mergeCell ref="C32:C33"/>
    <mergeCell ref="D32:D33"/>
    <mergeCell ref="C26:C27"/>
    <mergeCell ref="D26:D27"/>
    <mergeCell ref="B30:B31"/>
    <mergeCell ref="C30:C31"/>
    <mergeCell ref="D30:D31"/>
    <mergeCell ref="B48:B49"/>
    <mergeCell ref="C48:C49"/>
    <mergeCell ref="B14:B15"/>
    <mergeCell ref="C14:C15"/>
    <mergeCell ref="D14:D15"/>
    <mergeCell ref="B16:B17"/>
    <mergeCell ref="C16:C17"/>
    <mergeCell ref="D16:D17"/>
    <mergeCell ref="B18:B19"/>
    <mergeCell ref="C18:C19"/>
    <mergeCell ref="D18:D19"/>
    <mergeCell ref="B42:B43"/>
    <mergeCell ref="C42:C43"/>
    <mergeCell ref="D42:D43"/>
    <mergeCell ref="B44:B45"/>
    <mergeCell ref="C44:C45"/>
    <mergeCell ref="D44:D45"/>
    <mergeCell ref="B46:B47"/>
    <mergeCell ref="C46:C47"/>
    <mergeCell ref="D46:D47"/>
    <mergeCell ref="B28:B29"/>
    <mergeCell ref="C28:C29"/>
    <mergeCell ref="D28:D29"/>
    <mergeCell ref="C38:C39"/>
    <mergeCell ref="L4:M4"/>
    <mergeCell ref="N48:N49"/>
    <mergeCell ref="N34:N35"/>
    <mergeCell ref="N36:N37"/>
    <mergeCell ref="N38:N39"/>
    <mergeCell ref="N40:N41"/>
    <mergeCell ref="N32:N33"/>
    <mergeCell ref="N14:N15"/>
    <mergeCell ref="N16:N17"/>
    <mergeCell ref="N18:N19"/>
    <mergeCell ref="N20:N21"/>
    <mergeCell ref="N22:N23"/>
    <mergeCell ref="N24:N25"/>
    <mergeCell ref="N26:N27"/>
    <mergeCell ref="N30:N31"/>
    <mergeCell ref="N42:N43"/>
    <mergeCell ref="N44:N45"/>
    <mergeCell ref="N46:N47"/>
    <mergeCell ref="N28:N29"/>
  </mergeCells>
  <pageMargins left="0.51181102362204722" right="0.51181102362204722" top="0.78740157480314965" bottom="0.78740157480314965" header="0.31496062992125984" footer="0.31496062992125984"/>
  <pageSetup paperSize="9" scale="55" orientation="landscape" verticalDpi="4294967293" r:id="rId1"/>
  <headerFooter>
    <oddFooter>&amp;CFolha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Memória Quant</vt:lpstr>
      <vt:lpstr>ORÇAMENTO com</vt:lpstr>
      <vt:lpstr>Demol e Arranc</vt:lpstr>
      <vt:lpstr>Composição SEM Desone</vt:lpstr>
      <vt:lpstr>ORÇAMENTO sem </vt:lpstr>
      <vt:lpstr>CRONOGRAMA</vt:lpstr>
      <vt:lpstr>'Demol e Arranc'!Titulos_de_impressao</vt:lpstr>
    </vt:vector>
  </TitlesOfParts>
  <Company>PMVR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ippu</dc:creator>
  <cp:lastModifiedBy>Patrick Araujo Suckow de Barros</cp:lastModifiedBy>
  <cp:lastPrinted>2020-06-10T15:16:58Z</cp:lastPrinted>
  <dcterms:created xsi:type="dcterms:W3CDTF">2007-05-03T19:44:03Z</dcterms:created>
  <dcterms:modified xsi:type="dcterms:W3CDTF">2020-06-10T16:36:14Z</dcterms:modified>
</cp:coreProperties>
</file>